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DieseArbeitsmappe" autoCompressPictures="0"/>
  <workbookProtection workbookPassword="EDC3" lockStructure="1"/>
  <bookViews>
    <workbookView xWindow="0" yWindow="0" windowWidth="19320" windowHeight="15480" tabRatio="841"/>
  </bookViews>
  <sheets>
    <sheet name="Eingabe Eckdaten" sheetId="39" r:id="rId1"/>
    <sheet name="Eingabe Annahmen" sheetId="38" r:id="rId2"/>
    <sheet name="Interne Berechunung" sheetId="33" state="hidden" r:id="rId3"/>
    <sheet name="Ausgabe Kennwerte" sheetId="41" r:id="rId4"/>
    <sheet name="Ausgabe Mengenbilanzen" sheetId="34" r:id="rId5"/>
    <sheet name="Ausgabe Kostenbilanzen" sheetId="35" r:id="rId6"/>
    <sheet name="Sensitivitätsanalyse" sheetId="46" state="hidden" r:id="rId7"/>
    <sheet name="Ausgabe Öko-Effizienz" sheetId="43" r:id="rId8"/>
    <sheet name="Formelsammlung" sheetId="45" state="hidden" r:id="rId9"/>
    <sheet name="Literatur" sheetId="40" state="hidden" r:id="rId10"/>
  </sheets>
  <definedNames>
    <definedName name="_xlnm.Print_Area" localSheetId="3">'Ausgabe Kennwerte'!$B$2:$I$29</definedName>
    <definedName name="_xlnm.Print_Area" localSheetId="5">'Ausgabe Kostenbilanzen'!$B$2:$I$33</definedName>
    <definedName name="_xlnm.Print_Area" localSheetId="4">'Ausgabe Mengenbilanzen'!$B$2:$I$54</definedName>
    <definedName name="_xlnm.Print_Area" localSheetId="1">'Eingabe Annahmen'!$B$2:$H$68</definedName>
    <definedName name="_xlnm.Print_Area" localSheetId="0">'Eingabe Eckdaten'!$B$2:$L$75</definedName>
    <definedName name="_xlnm.Print_Area" localSheetId="8">Formelsammlung!$A$1:$M$192</definedName>
    <definedName name="_xlnm.Print_Area" localSheetId="9">Literatur!$B$2:$M$18</definedName>
    <definedName name="_xlnm.Print_Titles" localSheetId="1">'Eingabe Annahmen'!$8:$9</definedName>
  </definedNames>
  <calcPr calcId="1445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1" i="39" l="1"/>
  <c r="H22" i="39"/>
  <c r="C6" i="33"/>
  <c r="C7" i="33"/>
  <c r="C8" i="33"/>
  <c r="C9" i="33"/>
  <c r="C10" i="33"/>
  <c r="C11" i="33"/>
  <c r="C12" i="33"/>
  <c r="C13" i="33"/>
  <c r="C7" i="34"/>
  <c r="C7" i="35"/>
  <c r="D20" i="39"/>
  <c r="F15" i="33"/>
  <c r="D6" i="33"/>
  <c r="D7" i="33"/>
  <c r="D8" i="33"/>
  <c r="D9" i="33"/>
  <c r="D10" i="33"/>
  <c r="D11" i="33"/>
  <c r="D12" i="33"/>
  <c r="D13" i="33"/>
  <c r="H15" i="33"/>
  <c r="L15" i="33"/>
  <c r="H14" i="33"/>
  <c r="L14" i="33"/>
  <c r="L16" i="33"/>
  <c r="C9" i="34"/>
  <c r="E6" i="33"/>
  <c r="F6" i="33"/>
  <c r="I6" i="33"/>
  <c r="K6" i="33"/>
  <c r="E7" i="33"/>
  <c r="F7" i="33"/>
  <c r="I7" i="33"/>
  <c r="K7" i="33"/>
  <c r="E8" i="33"/>
  <c r="F8" i="33"/>
  <c r="I8" i="33"/>
  <c r="K8" i="33"/>
  <c r="E9" i="33"/>
  <c r="F9" i="33"/>
  <c r="I9" i="33"/>
  <c r="K9" i="33"/>
  <c r="E10" i="33"/>
  <c r="F10" i="33"/>
  <c r="L21" i="39"/>
  <c r="D21" i="33"/>
  <c r="E21" i="33"/>
  <c r="I10" i="33"/>
  <c r="K10" i="33"/>
  <c r="E11" i="33"/>
  <c r="F11" i="33"/>
  <c r="I11" i="33"/>
  <c r="K11" i="33"/>
  <c r="K13" i="33"/>
  <c r="I15" i="33"/>
  <c r="K15" i="33"/>
  <c r="I14" i="33"/>
  <c r="K14" i="33"/>
  <c r="K16" i="33"/>
  <c r="C11" i="34"/>
  <c r="C9" i="35"/>
  <c r="G6" i="33"/>
  <c r="J6" i="33"/>
  <c r="G7" i="33"/>
  <c r="J7" i="33"/>
  <c r="G8" i="33"/>
  <c r="J8" i="33"/>
  <c r="G9" i="33"/>
  <c r="J9" i="33"/>
  <c r="G10" i="33"/>
  <c r="J10" i="33"/>
  <c r="G11" i="33"/>
  <c r="J11" i="33"/>
  <c r="J13" i="33"/>
  <c r="J15" i="33"/>
  <c r="G14" i="33"/>
  <c r="J14" i="33"/>
  <c r="J16" i="33"/>
  <c r="C12" i="34"/>
  <c r="C11" i="35"/>
  <c r="C14" i="35"/>
  <c r="C168" i="33"/>
  <c r="BB182" i="33"/>
  <c r="BB185" i="33"/>
  <c r="BF185" i="33"/>
  <c r="BB190" i="33"/>
  <c r="BB186" i="33"/>
  <c r="BF186" i="33"/>
  <c r="BD190" i="33"/>
  <c r="AZ6" i="33"/>
  <c r="BB191" i="33"/>
  <c r="BD191" i="33"/>
  <c r="AZ7" i="33"/>
  <c r="BB192" i="33"/>
  <c r="BD192" i="33"/>
  <c r="AZ8" i="33"/>
  <c r="BB193" i="33"/>
  <c r="BD193" i="33"/>
  <c r="AZ9" i="33"/>
  <c r="BB194" i="33"/>
  <c r="BD194" i="33"/>
  <c r="AZ10" i="33"/>
  <c r="BB195" i="33"/>
  <c r="BD195" i="33"/>
  <c r="AZ11" i="33"/>
  <c r="BB196" i="33"/>
  <c r="BD196" i="33"/>
  <c r="AZ12" i="33"/>
  <c r="AZ13" i="33"/>
  <c r="I7" i="34"/>
  <c r="I7" i="35"/>
  <c r="BF190" i="33"/>
  <c r="BA6" i="33"/>
  <c r="BH190" i="33"/>
  <c r="BB6" i="33"/>
  <c r="BD6" i="33"/>
  <c r="BF191" i="33"/>
  <c r="BA7" i="33"/>
  <c r="BH191" i="33"/>
  <c r="BB7" i="33"/>
  <c r="BD7" i="33"/>
  <c r="BF192" i="33"/>
  <c r="BA8" i="33"/>
  <c r="BH192" i="33"/>
  <c r="BB8" i="33"/>
  <c r="BD8" i="33"/>
  <c r="BF193" i="33"/>
  <c r="BA9" i="33"/>
  <c r="BH193" i="33"/>
  <c r="BB9" i="33"/>
  <c r="BD9" i="33"/>
  <c r="BF195" i="33"/>
  <c r="BA11" i="33"/>
  <c r="BH195" i="33"/>
  <c r="BB11" i="33"/>
  <c r="BD11" i="33"/>
  <c r="BD13" i="33"/>
  <c r="I8" i="34"/>
  <c r="I8" i="35"/>
  <c r="BF182" i="33"/>
  <c r="BB183" i="33"/>
  <c r="BB184" i="33"/>
  <c r="BF183" i="33"/>
  <c r="BC15" i="33"/>
  <c r="BF194" i="33"/>
  <c r="BA10" i="33"/>
  <c r="BF196" i="33"/>
  <c r="BA12" i="33"/>
  <c r="BA13" i="33"/>
  <c r="BE15" i="33"/>
  <c r="BI15" i="33"/>
  <c r="BF184" i="33"/>
  <c r="BE14" i="33"/>
  <c r="BI14" i="33"/>
  <c r="BI16" i="33"/>
  <c r="I9" i="34"/>
  <c r="I9" i="35"/>
  <c r="BD14" i="33"/>
  <c r="BD16" i="33"/>
  <c r="I10" i="34"/>
  <c r="G63" i="38"/>
  <c r="AZ56" i="33"/>
  <c r="AZ58" i="33"/>
  <c r="I27" i="41"/>
  <c r="I41" i="34"/>
  <c r="I31" i="35"/>
  <c r="I10" i="35"/>
  <c r="BH194" i="33"/>
  <c r="BB10" i="33"/>
  <c r="BC10" i="33"/>
  <c r="AZ21" i="33"/>
  <c r="BJ186" i="33"/>
  <c r="BJ185" i="33"/>
  <c r="BA21" i="33"/>
  <c r="BB21" i="33"/>
  <c r="BC20" i="33"/>
  <c r="I14" i="34"/>
  <c r="G66" i="38"/>
  <c r="AZ87" i="33"/>
  <c r="AZ88" i="33"/>
  <c r="AZ90" i="33"/>
  <c r="AZ91" i="33"/>
  <c r="I10" i="41"/>
  <c r="I22" i="34"/>
  <c r="AZ101" i="33"/>
  <c r="I24" i="34"/>
  <c r="I28" i="35"/>
  <c r="G67" i="38"/>
  <c r="AZ94" i="33"/>
  <c r="AZ95" i="33"/>
  <c r="AZ97" i="33"/>
  <c r="AZ98" i="33"/>
  <c r="I11" i="41"/>
  <c r="I23" i="34"/>
  <c r="AZ102" i="33"/>
  <c r="I25" i="34"/>
  <c r="I29" i="35"/>
  <c r="I30" i="35"/>
  <c r="AZ44" i="33"/>
  <c r="AZ45" i="33"/>
  <c r="AZ47" i="33"/>
  <c r="I29" i="41"/>
  <c r="I43" i="34"/>
  <c r="I32" i="35"/>
  <c r="I13" i="35"/>
  <c r="I14" i="35"/>
  <c r="G168" i="33"/>
  <c r="G173" i="33"/>
  <c r="AP182" i="33"/>
  <c r="AP185" i="33"/>
  <c r="AT185" i="33"/>
  <c r="AP190" i="33"/>
  <c r="AP186" i="33"/>
  <c r="AT186" i="33"/>
  <c r="AR190" i="33"/>
  <c r="AN6" i="33"/>
  <c r="AP191" i="33"/>
  <c r="AR191" i="33"/>
  <c r="AN7" i="33"/>
  <c r="AP192" i="33"/>
  <c r="AR192" i="33"/>
  <c r="AN8" i="33"/>
  <c r="AP193" i="33"/>
  <c r="AR193" i="33"/>
  <c r="AN9" i="33"/>
  <c r="AP194" i="33"/>
  <c r="AR194" i="33"/>
  <c r="AN10" i="33"/>
  <c r="AP195" i="33"/>
  <c r="AR195" i="33"/>
  <c r="AN11" i="33"/>
  <c r="AP196" i="33"/>
  <c r="AR196" i="33"/>
  <c r="AN12" i="33"/>
  <c r="AN13" i="33"/>
  <c r="H7" i="34"/>
  <c r="H7" i="35"/>
  <c r="AT182" i="33"/>
  <c r="AP183" i="33"/>
  <c r="AP184" i="33"/>
  <c r="AT183" i="33"/>
  <c r="AQ15" i="33"/>
  <c r="AT190" i="33"/>
  <c r="AO6" i="33"/>
  <c r="AT191" i="33"/>
  <c r="AO7" i="33"/>
  <c r="AT192" i="33"/>
  <c r="AO8" i="33"/>
  <c r="AT193" i="33"/>
  <c r="AO9" i="33"/>
  <c r="AT194" i="33"/>
  <c r="AO10" i="33"/>
  <c r="AT195" i="33"/>
  <c r="AO11" i="33"/>
  <c r="AT196" i="33"/>
  <c r="AO12" i="33"/>
  <c r="AO13" i="33"/>
  <c r="AX183" i="33"/>
  <c r="AS15" i="33"/>
  <c r="AW15" i="33"/>
  <c r="AT184" i="33"/>
  <c r="AS14" i="33"/>
  <c r="AW14" i="33"/>
  <c r="AW16" i="33"/>
  <c r="H9" i="34"/>
  <c r="AV190" i="33"/>
  <c r="AP6" i="33"/>
  <c r="AQ6" i="33"/>
  <c r="AX184" i="33"/>
  <c r="AT6" i="33"/>
  <c r="AX182" i="33"/>
  <c r="AV6" i="33"/>
  <c r="AV191" i="33"/>
  <c r="AP7" i="33"/>
  <c r="AQ7" i="33"/>
  <c r="AT7" i="33"/>
  <c r="AV7" i="33"/>
  <c r="AV192" i="33"/>
  <c r="AP8" i="33"/>
  <c r="AQ8" i="33"/>
  <c r="AT8" i="33"/>
  <c r="AV8" i="33"/>
  <c r="AV193" i="33"/>
  <c r="AP9" i="33"/>
  <c r="AQ9" i="33"/>
  <c r="AT9" i="33"/>
  <c r="AV9" i="33"/>
  <c r="AV194" i="33"/>
  <c r="AP10" i="33"/>
  <c r="AQ10" i="33"/>
  <c r="AX186" i="33"/>
  <c r="AX185" i="33"/>
  <c r="AO21" i="33"/>
  <c r="AP21" i="33"/>
  <c r="AT10" i="33"/>
  <c r="AV10" i="33"/>
  <c r="AV195" i="33"/>
  <c r="AP11" i="33"/>
  <c r="AQ11" i="33"/>
  <c r="AT11" i="33"/>
  <c r="AV11" i="33"/>
  <c r="AV12" i="33"/>
  <c r="AV13" i="33"/>
  <c r="AT15" i="33"/>
  <c r="AV15" i="33"/>
  <c r="AT14" i="33"/>
  <c r="AV14" i="33"/>
  <c r="AV16" i="33"/>
  <c r="H11" i="34"/>
  <c r="H9" i="35"/>
  <c r="AR6" i="33"/>
  <c r="AU6" i="33"/>
  <c r="AR7" i="33"/>
  <c r="AU7" i="33"/>
  <c r="AR8" i="33"/>
  <c r="AU8" i="33"/>
  <c r="AR9" i="33"/>
  <c r="AU9" i="33"/>
  <c r="AR10" i="33"/>
  <c r="AU10" i="33"/>
  <c r="AR11" i="33"/>
  <c r="AU11" i="33"/>
  <c r="AU13" i="33"/>
  <c r="AU15" i="33"/>
  <c r="AR14" i="33"/>
  <c r="AU14" i="33"/>
  <c r="AU16" i="33"/>
  <c r="H12" i="34"/>
  <c r="AQ18" i="33"/>
  <c r="H13" i="34"/>
  <c r="AN73" i="33"/>
  <c r="AN91" i="33"/>
  <c r="H10" i="41"/>
  <c r="H22" i="34"/>
  <c r="AN101" i="33"/>
  <c r="H24" i="34"/>
  <c r="H28" i="35"/>
  <c r="AN95" i="33"/>
  <c r="AN97" i="33"/>
  <c r="AN98" i="33"/>
  <c r="H11" i="41"/>
  <c r="H23" i="34"/>
  <c r="AN102" i="33"/>
  <c r="H25" i="34"/>
  <c r="H29" i="35"/>
  <c r="H30" i="35"/>
  <c r="AN56" i="33"/>
  <c r="AN58" i="33"/>
  <c r="H27" i="41"/>
  <c r="H41" i="34"/>
  <c r="H31" i="35"/>
  <c r="H11" i="35"/>
  <c r="H12" i="35"/>
  <c r="H14" i="35"/>
  <c r="F168" i="33"/>
  <c r="F173" i="33"/>
  <c r="D63" i="39"/>
  <c r="H63" i="39"/>
  <c r="D64" i="39"/>
  <c r="H64" i="39"/>
  <c r="AA6" i="33"/>
  <c r="AA7" i="33"/>
  <c r="AA8" i="33"/>
  <c r="AA9" i="33"/>
  <c r="AA10" i="33"/>
  <c r="AA11" i="33"/>
  <c r="AA12" i="33"/>
  <c r="AA13" i="33"/>
  <c r="E7" i="34"/>
  <c r="E7" i="35"/>
  <c r="AB6" i="33"/>
  <c r="AC6" i="33"/>
  <c r="AE6" i="33"/>
  <c r="AB7" i="33"/>
  <c r="AC7" i="33"/>
  <c r="AE7" i="33"/>
  <c r="AB8" i="33"/>
  <c r="AC8" i="33"/>
  <c r="AE8" i="33"/>
  <c r="AB9" i="33"/>
  <c r="AC9" i="33"/>
  <c r="AE9" i="33"/>
  <c r="AB11" i="33"/>
  <c r="AC11" i="33"/>
  <c r="AE11" i="33"/>
  <c r="AE13" i="33"/>
  <c r="E8" i="34"/>
  <c r="E8" i="35"/>
  <c r="D62" i="39"/>
  <c r="AD15" i="33"/>
  <c r="AB10" i="33"/>
  <c r="AB12" i="33"/>
  <c r="AB13" i="33"/>
  <c r="AF15" i="33"/>
  <c r="AJ15" i="33"/>
  <c r="AF14" i="33"/>
  <c r="AJ14" i="33"/>
  <c r="AJ16" i="33"/>
  <c r="E9" i="34"/>
  <c r="E9" i="35"/>
  <c r="AE14" i="33"/>
  <c r="AE16" i="33"/>
  <c r="E10" i="34"/>
  <c r="AA56" i="33"/>
  <c r="AA58" i="33"/>
  <c r="E27" i="41"/>
  <c r="E41" i="34"/>
  <c r="E31" i="35"/>
  <c r="E10" i="35"/>
  <c r="AC10" i="33"/>
  <c r="AD10" i="33"/>
  <c r="AA21" i="33"/>
  <c r="L63" i="39"/>
  <c r="AB21" i="33"/>
  <c r="AC21" i="33"/>
  <c r="AD20" i="33"/>
  <c r="E14" i="34"/>
  <c r="AA87" i="33"/>
  <c r="AA88" i="33"/>
  <c r="AA90" i="33"/>
  <c r="AA91" i="33"/>
  <c r="E10" i="41"/>
  <c r="E22" i="34"/>
  <c r="E24" i="34"/>
  <c r="E28" i="35"/>
  <c r="AA94" i="33"/>
  <c r="AA95" i="33"/>
  <c r="AA97" i="33"/>
  <c r="AA98" i="33"/>
  <c r="E11" i="41"/>
  <c r="E23" i="34"/>
  <c r="E25" i="34"/>
  <c r="E29" i="35"/>
  <c r="E30" i="35"/>
  <c r="AA44" i="33"/>
  <c r="AA45" i="33"/>
  <c r="AA47" i="33"/>
  <c r="E29" i="41"/>
  <c r="E43" i="34"/>
  <c r="E32" i="35"/>
  <c r="E13" i="35"/>
  <c r="E14" i="35"/>
  <c r="E168" i="33"/>
  <c r="E173" i="33"/>
  <c r="H42" i="39"/>
  <c r="H43" i="39"/>
  <c r="O6" i="33"/>
  <c r="O7" i="33"/>
  <c r="O8" i="33"/>
  <c r="O9" i="33"/>
  <c r="O10" i="33"/>
  <c r="O11" i="33"/>
  <c r="O12" i="33"/>
  <c r="O13" i="33"/>
  <c r="D7" i="34"/>
  <c r="D7" i="35"/>
  <c r="D41" i="39"/>
  <c r="R15" i="33"/>
  <c r="P6" i="33"/>
  <c r="P7" i="33"/>
  <c r="P8" i="33"/>
  <c r="P9" i="33"/>
  <c r="P10" i="33"/>
  <c r="P11" i="33"/>
  <c r="P12" i="33"/>
  <c r="P13" i="33"/>
  <c r="T15" i="33"/>
  <c r="X15" i="33"/>
  <c r="T14" i="33"/>
  <c r="X14" i="33"/>
  <c r="X16" i="33"/>
  <c r="D9" i="34"/>
  <c r="Q6" i="33"/>
  <c r="R6" i="33"/>
  <c r="U6" i="33"/>
  <c r="W6" i="33"/>
  <c r="Q7" i="33"/>
  <c r="R7" i="33"/>
  <c r="U7" i="33"/>
  <c r="W7" i="33"/>
  <c r="Q8" i="33"/>
  <c r="R8" i="33"/>
  <c r="U8" i="33"/>
  <c r="W8" i="33"/>
  <c r="Q9" i="33"/>
  <c r="R9" i="33"/>
  <c r="U9" i="33"/>
  <c r="W9" i="33"/>
  <c r="Q10" i="33"/>
  <c r="R10" i="33"/>
  <c r="L42" i="39"/>
  <c r="P21" i="33"/>
  <c r="Q21" i="33"/>
  <c r="U10" i="33"/>
  <c r="W10" i="33"/>
  <c r="Q11" i="33"/>
  <c r="R11" i="33"/>
  <c r="U11" i="33"/>
  <c r="W11" i="33"/>
  <c r="W12" i="33"/>
  <c r="W13" i="33"/>
  <c r="U15" i="33"/>
  <c r="W15" i="33"/>
  <c r="U14" i="33"/>
  <c r="W14" i="33"/>
  <c r="W16" i="33"/>
  <c r="D11" i="34"/>
  <c r="D9" i="35"/>
  <c r="S6" i="33"/>
  <c r="V6" i="33"/>
  <c r="S7" i="33"/>
  <c r="V7" i="33"/>
  <c r="S8" i="33"/>
  <c r="V8" i="33"/>
  <c r="S9" i="33"/>
  <c r="V9" i="33"/>
  <c r="S10" i="33"/>
  <c r="V10" i="33"/>
  <c r="S11" i="33"/>
  <c r="V11" i="33"/>
  <c r="V13" i="33"/>
  <c r="V15" i="33"/>
  <c r="S14" i="33"/>
  <c r="V14" i="33"/>
  <c r="V16" i="33"/>
  <c r="D12" i="34"/>
  <c r="R18" i="33"/>
  <c r="D13" i="34"/>
  <c r="O73" i="33"/>
  <c r="O91" i="33"/>
  <c r="D10" i="41"/>
  <c r="D22" i="34"/>
  <c r="D24" i="34"/>
  <c r="D28" i="35"/>
  <c r="O95" i="33"/>
  <c r="O97" i="33"/>
  <c r="O98" i="33"/>
  <c r="D11" i="41"/>
  <c r="D23" i="34"/>
  <c r="D25" i="34"/>
  <c r="D29" i="35"/>
  <c r="D30" i="35"/>
  <c r="O56" i="33"/>
  <c r="O58" i="33"/>
  <c r="D27" i="41"/>
  <c r="D41" i="34"/>
  <c r="D31" i="35"/>
  <c r="D11" i="35"/>
  <c r="D12" i="35"/>
  <c r="D14" i="35"/>
  <c r="D168" i="33"/>
  <c r="D173" i="33"/>
  <c r="C69" i="33"/>
  <c r="C70" i="33"/>
  <c r="C73" i="33"/>
  <c r="C75" i="33"/>
  <c r="C76" i="33"/>
  <c r="C7" i="41"/>
  <c r="C19" i="34"/>
  <c r="C163" i="33"/>
  <c r="C164" i="33"/>
  <c r="C165" i="33"/>
  <c r="AZ74" i="33"/>
  <c r="AZ75" i="33"/>
  <c r="AZ76" i="33"/>
  <c r="I8" i="41"/>
  <c r="I20" i="34"/>
  <c r="BA82" i="33"/>
  <c r="I9" i="41"/>
  <c r="I21" i="34"/>
  <c r="G163" i="33"/>
  <c r="G164" i="33"/>
  <c r="G165" i="33"/>
  <c r="G166" i="33"/>
  <c r="AN74" i="33"/>
  <c r="AN75" i="33"/>
  <c r="AN76" i="33"/>
  <c r="H8" i="41"/>
  <c r="H20" i="34"/>
  <c r="AN82" i="33"/>
  <c r="H9" i="41"/>
  <c r="H21" i="34"/>
  <c r="F163" i="33"/>
  <c r="F164" i="33"/>
  <c r="F165" i="33"/>
  <c r="F166" i="33"/>
  <c r="AA75" i="33"/>
  <c r="AA76" i="33"/>
  <c r="E8" i="41"/>
  <c r="E20" i="34"/>
  <c r="AA82" i="33"/>
  <c r="E9" i="41"/>
  <c r="E21" i="34"/>
  <c r="E163" i="33"/>
  <c r="E164" i="33"/>
  <c r="E165" i="33"/>
  <c r="E166" i="33"/>
  <c r="O75" i="33"/>
  <c r="O76" i="33"/>
  <c r="D8" i="41"/>
  <c r="D20" i="34"/>
  <c r="O82" i="33"/>
  <c r="D9" i="41"/>
  <c r="D21" i="34"/>
  <c r="D163" i="33"/>
  <c r="D164" i="33"/>
  <c r="D165" i="33"/>
  <c r="D166" i="33"/>
  <c r="C16" i="41"/>
  <c r="C30" i="34"/>
  <c r="C31" i="34"/>
  <c r="C33" i="34"/>
  <c r="C20" i="41"/>
  <c r="C34" i="34"/>
  <c r="C31" i="33"/>
  <c r="C32" i="33"/>
  <c r="C21" i="41"/>
  <c r="C35" i="34"/>
  <c r="C36" i="34"/>
  <c r="C37" i="34"/>
  <c r="C40" i="34"/>
  <c r="C158" i="33"/>
  <c r="C41" i="34"/>
  <c r="C42" i="34"/>
  <c r="C43" i="34"/>
  <c r="C159" i="33"/>
  <c r="C160" i="33"/>
  <c r="I16" i="41"/>
  <c r="I30" i="34"/>
  <c r="I17" i="41"/>
  <c r="I31" i="34"/>
  <c r="I18" i="41"/>
  <c r="I32" i="34"/>
  <c r="I19" i="41"/>
  <c r="I33" i="34"/>
  <c r="I35" i="34"/>
  <c r="I22" i="41"/>
  <c r="I36" i="34"/>
  <c r="I23" i="41"/>
  <c r="I37" i="34"/>
  <c r="I24" i="41"/>
  <c r="I38" i="34"/>
  <c r="I25" i="41"/>
  <c r="I39" i="34"/>
  <c r="AZ39" i="33"/>
  <c r="I26" i="41"/>
  <c r="I40" i="34"/>
  <c r="G158" i="33"/>
  <c r="AZ62" i="33"/>
  <c r="AZ64" i="33"/>
  <c r="I28" i="41"/>
  <c r="I42" i="34"/>
  <c r="G159" i="33"/>
  <c r="G160" i="33"/>
  <c r="G161" i="33"/>
  <c r="H16" i="41"/>
  <c r="H30" i="34"/>
  <c r="H31" i="34"/>
  <c r="H18" i="41"/>
  <c r="H32" i="34"/>
  <c r="H33" i="34"/>
  <c r="H20" i="41"/>
  <c r="H34" i="34"/>
  <c r="H21" i="41"/>
  <c r="H35" i="34"/>
  <c r="H22" i="41"/>
  <c r="H36" i="34"/>
  <c r="H23" i="41"/>
  <c r="H37" i="34"/>
  <c r="H24" i="41"/>
  <c r="H38" i="34"/>
  <c r="H40" i="34"/>
  <c r="F158" i="33"/>
  <c r="H42" i="34"/>
  <c r="H43" i="34"/>
  <c r="F159" i="33"/>
  <c r="F160" i="33"/>
  <c r="F161" i="33"/>
  <c r="E16" i="41"/>
  <c r="E30" i="34"/>
  <c r="E17" i="41"/>
  <c r="E31" i="34"/>
  <c r="E18" i="41"/>
  <c r="E32" i="34"/>
  <c r="E19" i="41"/>
  <c r="E33" i="34"/>
  <c r="AI13" i="33"/>
  <c r="AI16" i="33"/>
  <c r="E11" i="34"/>
  <c r="E34" i="34"/>
  <c r="AH13" i="33"/>
  <c r="AH16" i="33"/>
  <c r="E12" i="34"/>
  <c r="E35" i="34"/>
  <c r="E22" i="41"/>
  <c r="E36" i="34"/>
  <c r="E23" i="41"/>
  <c r="E37" i="34"/>
  <c r="E24" i="41"/>
  <c r="E38" i="34"/>
  <c r="E25" i="41"/>
  <c r="E39" i="34"/>
  <c r="AA39" i="33"/>
  <c r="E26" i="41"/>
  <c r="E40" i="34"/>
  <c r="E158" i="33"/>
  <c r="AA62" i="33"/>
  <c r="AA64" i="33"/>
  <c r="E28" i="41"/>
  <c r="E42" i="34"/>
  <c r="E159" i="33"/>
  <c r="E160" i="33"/>
  <c r="E161" i="33"/>
  <c r="D16" i="41"/>
  <c r="D30" i="34"/>
  <c r="D31" i="34"/>
  <c r="D18" i="41"/>
  <c r="D32" i="34"/>
  <c r="D33" i="34"/>
  <c r="D20" i="41"/>
  <c r="D34" i="34"/>
  <c r="D21" i="41"/>
  <c r="D35" i="34"/>
  <c r="D22" i="41"/>
  <c r="D36" i="34"/>
  <c r="D23" i="41"/>
  <c r="D37" i="34"/>
  <c r="D24" i="41"/>
  <c r="D38" i="34"/>
  <c r="D40" i="34"/>
  <c r="D158" i="33"/>
  <c r="D42" i="34"/>
  <c r="D43" i="34"/>
  <c r="D159" i="33"/>
  <c r="D160" i="33"/>
  <c r="D161" i="33"/>
  <c r="F14" i="33"/>
  <c r="C153" i="33"/>
  <c r="C154" i="33"/>
  <c r="C155" i="33"/>
  <c r="BC14" i="33"/>
  <c r="G153" i="33"/>
  <c r="BH196" i="33"/>
  <c r="BB12" i="33"/>
  <c r="BB13" i="33"/>
  <c r="G154" i="33"/>
  <c r="G155" i="33"/>
  <c r="G156" i="33"/>
  <c r="AQ14" i="33"/>
  <c r="F153" i="33"/>
  <c r="F154" i="33"/>
  <c r="F155" i="33"/>
  <c r="F156" i="33"/>
  <c r="AD14" i="33"/>
  <c r="E153" i="33"/>
  <c r="AC12" i="33"/>
  <c r="AC13" i="33"/>
  <c r="E154" i="33"/>
  <c r="E155" i="33"/>
  <c r="E156" i="33"/>
  <c r="R14" i="33"/>
  <c r="D153" i="33"/>
  <c r="D154" i="33"/>
  <c r="D155" i="33"/>
  <c r="D156" i="33"/>
  <c r="AC25" i="33"/>
  <c r="J78" i="39"/>
  <c r="AB25" i="33"/>
  <c r="H77" i="39"/>
  <c r="P25" i="33"/>
  <c r="H56" i="39"/>
  <c r="I33" i="35"/>
  <c r="H33" i="35"/>
  <c r="E33" i="35"/>
  <c r="D33" i="35"/>
  <c r="D75" i="39"/>
  <c r="I19" i="35"/>
  <c r="J75" i="39"/>
  <c r="I20" i="35"/>
  <c r="L72" i="39"/>
  <c r="I22" i="35"/>
  <c r="BI17" i="33"/>
  <c r="I23" i="35"/>
  <c r="D54" i="39"/>
  <c r="H19" i="35"/>
  <c r="H21" i="35"/>
  <c r="AW17" i="33"/>
  <c r="H23" i="35"/>
  <c r="E19" i="35"/>
  <c r="E20" i="35"/>
  <c r="E22" i="35"/>
  <c r="AJ17" i="33"/>
  <c r="E23" i="35"/>
  <c r="D19" i="35"/>
  <c r="D21" i="35"/>
  <c r="X17" i="33"/>
  <c r="D23" i="35"/>
  <c r="D33" i="39"/>
  <c r="C19" i="35"/>
  <c r="C21" i="35"/>
  <c r="L17" i="33"/>
  <c r="C23" i="35"/>
  <c r="I44" i="34"/>
  <c r="I45" i="34"/>
  <c r="I46" i="34"/>
  <c r="H44" i="34"/>
  <c r="H45" i="34"/>
  <c r="H46" i="34"/>
  <c r="E44" i="34"/>
  <c r="E45" i="34"/>
  <c r="E46" i="34"/>
  <c r="D44" i="34"/>
  <c r="D45" i="34"/>
  <c r="D46" i="34"/>
  <c r="C44" i="34"/>
  <c r="C45" i="34"/>
  <c r="C46" i="34"/>
  <c r="C23" i="34"/>
  <c r="C22" i="34"/>
  <c r="G65" i="38"/>
  <c r="F65" i="38"/>
  <c r="G64" i="38"/>
  <c r="F64" i="38"/>
  <c r="G62" i="38"/>
  <c r="F62" i="38"/>
  <c r="G61" i="38"/>
  <c r="F61" i="38"/>
  <c r="F23" i="38"/>
  <c r="L68" i="39"/>
  <c r="L69" i="39"/>
  <c r="L70" i="39"/>
  <c r="L71" i="39"/>
  <c r="L73" i="39"/>
  <c r="L74" i="39"/>
  <c r="L75" i="39"/>
  <c r="K68" i="39"/>
  <c r="K69" i="39"/>
  <c r="K70" i="39"/>
  <c r="K71" i="39"/>
  <c r="K72" i="39"/>
  <c r="K73" i="39"/>
  <c r="K74" i="39"/>
  <c r="K75" i="39"/>
  <c r="I68" i="39"/>
  <c r="I69" i="39"/>
  <c r="I70" i="39"/>
  <c r="I71" i="39"/>
  <c r="I72" i="39"/>
  <c r="I73" i="39"/>
  <c r="I74" i="39"/>
  <c r="I75" i="39"/>
  <c r="H75" i="39"/>
  <c r="G68" i="39"/>
  <c r="G69" i="39"/>
  <c r="G70" i="39"/>
  <c r="G71" i="39"/>
  <c r="G72" i="39"/>
  <c r="G73" i="39"/>
  <c r="G74" i="39"/>
  <c r="G75" i="39"/>
  <c r="F75" i="39"/>
  <c r="E68" i="39"/>
  <c r="E69" i="39"/>
  <c r="E70" i="39"/>
  <c r="E71" i="39"/>
  <c r="E72" i="39"/>
  <c r="E73" i="39"/>
  <c r="E74" i="39"/>
  <c r="E75" i="39"/>
  <c r="C68" i="39"/>
  <c r="C69" i="39"/>
  <c r="C70" i="39"/>
  <c r="C71" i="39"/>
  <c r="C72" i="39"/>
  <c r="C73" i="39"/>
  <c r="C74" i="39"/>
  <c r="C75" i="39"/>
  <c r="L47" i="39"/>
  <c r="L48" i="39"/>
  <c r="L49" i="39"/>
  <c r="L50" i="39"/>
  <c r="L51" i="39"/>
  <c r="L52" i="39"/>
  <c r="L53" i="39"/>
  <c r="L54" i="39"/>
  <c r="K47" i="39"/>
  <c r="K48" i="39"/>
  <c r="K49" i="39"/>
  <c r="K50" i="39"/>
  <c r="K51" i="39"/>
  <c r="K52" i="39"/>
  <c r="K53" i="39"/>
  <c r="K54" i="39"/>
  <c r="J54" i="39"/>
  <c r="I47" i="39"/>
  <c r="I48" i="39"/>
  <c r="I49" i="39"/>
  <c r="I50" i="39"/>
  <c r="I51" i="39"/>
  <c r="I52" i="39"/>
  <c r="I53" i="39"/>
  <c r="I54" i="39"/>
  <c r="H54" i="39"/>
  <c r="G47" i="39"/>
  <c r="G48" i="39"/>
  <c r="G49" i="39"/>
  <c r="G50" i="39"/>
  <c r="G51" i="39"/>
  <c r="G52" i="39"/>
  <c r="G53" i="39"/>
  <c r="G54" i="39"/>
  <c r="F54" i="39"/>
  <c r="E47" i="39"/>
  <c r="E48" i="39"/>
  <c r="E49" i="39"/>
  <c r="E50" i="39"/>
  <c r="E51" i="39"/>
  <c r="E52" i="39"/>
  <c r="E53" i="39"/>
  <c r="E54" i="39"/>
  <c r="C47" i="39"/>
  <c r="C48" i="39"/>
  <c r="C49" i="39"/>
  <c r="C50" i="39"/>
  <c r="C51" i="39"/>
  <c r="C52" i="39"/>
  <c r="C53" i="39"/>
  <c r="C54" i="39"/>
  <c r="L26" i="39"/>
  <c r="L27" i="39"/>
  <c r="L28" i="39"/>
  <c r="L29" i="39"/>
  <c r="L30" i="39"/>
  <c r="L31" i="39"/>
  <c r="L32" i="39"/>
  <c r="L33" i="39"/>
  <c r="K26" i="39"/>
  <c r="K27" i="39"/>
  <c r="K28" i="39"/>
  <c r="K29" i="39"/>
  <c r="K30" i="39"/>
  <c r="K31" i="39"/>
  <c r="K32" i="39"/>
  <c r="K33" i="39"/>
  <c r="J33" i="39"/>
  <c r="I26" i="39"/>
  <c r="I27" i="39"/>
  <c r="I28" i="39"/>
  <c r="I29" i="39"/>
  <c r="I30" i="39"/>
  <c r="I31" i="39"/>
  <c r="I32" i="39"/>
  <c r="I33" i="39"/>
  <c r="H33" i="39"/>
  <c r="G26" i="39"/>
  <c r="G27" i="39"/>
  <c r="G28" i="39"/>
  <c r="G29" i="39"/>
  <c r="G30" i="39"/>
  <c r="G31" i="39"/>
  <c r="G32" i="39"/>
  <c r="G33" i="39"/>
  <c r="F33" i="39"/>
  <c r="E26" i="39"/>
  <c r="E27" i="39"/>
  <c r="E28" i="39"/>
  <c r="E29" i="39"/>
  <c r="E30" i="39"/>
  <c r="E31" i="39"/>
  <c r="E32" i="39"/>
  <c r="E33" i="39"/>
  <c r="C26" i="39"/>
  <c r="C27" i="39"/>
  <c r="C28" i="39"/>
  <c r="C29" i="39"/>
  <c r="C30" i="39"/>
  <c r="C31" i="39"/>
  <c r="C32" i="39"/>
  <c r="C33" i="39"/>
  <c r="C224" i="45"/>
  <c r="E224" i="45"/>
  <c r="L224" i="45"/>
  <c r="C226" i="45"/>
  <c r="E226" i="45"/>
  <c r="L226" i="45"/>
  <c r="L227" i="45"/>
  <c r="C217" i="45"/>
  <c r="E217" i="45"/>
  <c r="L217" i="45"/>
  <c r="C219" i="45"/>
  <c r="E219" i="45"/>
  <c r="L219" i="45"/>
  <c r="L220" i="45"/>
  <c r="C206" i="45"/>
  <c r="E206" i="45"/>
  <c r="L206" i="45"/>
  <c r="L207" i="45"/>
  <c r="C201" i="45"/>
  <c r="E201" i="45"/>
  <c r="L201" i="45"/>
  <c r="L202" i="45"/>
  <c r="C178" i="45"/>
  <c r="E178" i="45"/>
  <c r="G178" i="45"/>
  <c r="I178" i="45"/>
  <c r="L178" i="45"/>
  <c r="C180" i="45"/>
  <c r="E180" i="45"/>
  <c r="G180" i="45"/>
  <c r="I180" i="45"/>
  <c r="L180" i="45"/>
  <c r="C182" i="45"/>
  <c r="E182" i="45"/>
  <c r="G182" i="45"/>
  <c r="I182" i="45"/>
  <c r="K182" i="45"/>
  <c r="L182" i="45"/>
  <c r="C184" i="45"/>
  <c r="E184" i="45"/>
  <c r="G184" i="45"/>
  <c r="I184" i="45"/>
  <c r="K184" i="45"/>
  <c r="L184" i="45"/>
  <c r="C186" i="45"/>
  <c r="E186" i="45"/>
  <c r="G186" i="45"/>
  <c r="I186" i="45"/>
  <c r="L186" i="45"/>
  <c r="C188" i="45"/>
  <c r="E188" i="45"/>
  <c r="L188" i="45"/>
  <c r="C190" i="45"/>
  <c r="E190" i="45"/>
  <c r="L190" i="45"/>
  <c r="L191" i="45"/>
  <c r="C161" i="45"/>
  <c r="E161" i="45"/>
  <c r="G161" i="45"/>
  <c r="I161" i="45"/>
  <c r="L161" i="45"/>
  <c r="C163" i="45"/>
  <c r="E163" i="45"/>
  <c r="G163" i="45"/>
  <c r="I163" i="45"/>
  <c r="L163" i="45"/>
  <c r="C165" i="45"/>
  <c r="E165" i="45"/>
  <c r="G165" i="45"/>
  <c r="I165" i="45"/>
  <c r="K165" i="45"/>
  <c r="L165" i="45"/>
  <c r="C167" i="45"/>
  <c r="E167" i="45"/>
  <c r="G167" i="45"/>
  <c r="I167" i="45"/>
  <c r="K167" i="45"/>
  <c r="L167" i="45"/>
  <c r="C169" i="45"/>
  <c r="E169" i="45"/>
  <c r="G169" i="45"/>
  <c r="I169" i="45"/>
  <c r="L169" i="45"/>
  <c r="C171" i="45"/>
  <c r="E171" i="45"/>
  <c r="L171" i="45"/>
  <c r="C173" i="45"/>
  <c r="E173" i="45"/>
  <c r="L173" i="45"/>
  <c r="L174" i="45"/>
  <c r="C138" i="45"/>
  <c r="E138" i="45"/>
  <c r="L138" i="45"/>
  <c r="C140" i="45"/>
  <c r="E140" i="45"/>
  <c r="G140" i="45"/>
  <c r="I140" i="45"/>
  <c r="K140" i="45"/>
  <c r="L140" i="45"/>
  <c r="C142" i="45"/>
  <c r="E142" i="45"/>
  <c r="G142" i="45"/>
  <c r="I142" i="45"/>
  <c r="K142" i="45"/>
  <c r="L142" i="45"/>
  <c r="C144" i="45"/>
  <c r="E144" i="45"/>
  <c r="G144" i="45"/>
  <c r="I144" i="45"/>
  <c r="K144" i="45"/>
  <c r="L144" i="45"/>
  <c r="C146" i="45"/>
  <c r="E146" i="45"/>
  <c r="G146" i="45"/>
  <c r="I146" i="45"/>
  <c r="K146" i="45"/>
  <c r="L146" i="45"/>
  <c r="C148" i="45"/>
  <c r="E148" i="45"/>
  <c r="L148" i="45"/>
  <c r="C150" i="45"/>
  <c r="L150" i="45"/>
  <c r="L151" i="45"/>
  <c r="C121" i="45"/>
  <c r="E121" i="45"/>
  <c r="L121" i="45"/>
  <c r="C123" i="45"/>
  <c r="E123" i="45"/>
  <c r="G123" i="45"/>
  <c r="I123" i="45"/>
  <c r="K123" i="45"/>
  <c r="L123" i="45"/>
  <c r="C125" i="45"/>
  <c r="E125" i="45"/>
  <c r="G125" i="45"/>
  <c r="I125" i="45"/>
  <c r="K125" i="45"/>
  <c r="L125" i="45"/>
  <c r="C127" i="45"/>
  <c r="E127" i="45"/>
  <c r="G127" i="45"/>
  <c r="I127" i="45"/>
  <c r="K127" i="45"/>
  <c r="L127" i="45"/>
  <c r="C129" i="45"/>
  <c r="E129" i="45"/>
  <c r="G129" i="45"/>
  <c r="I129" i="45"/>
  <c r="K129" i="45"/>
  <c r="L129" i="45"/>
  <c r="C131" i="45"/>
  <c r="E131" i="45"/>
  <c r="L131" i="45"/>
  <c r="C133" i="45"/>
  <c r="L133" i="45"/>
  <c r="L134" i="45"/>
  <c r="C102" i="45"/>
  <c r="E102" i="45"/>
  <c r="G102" i="45"/>
  <c r="I102" i="45"/>
  <c r="L102" i="45"/>
  <c r="C104" i="45"/>
  <c r="E104" i="45"/>
  <c r="G104" i="45"/>
  <c r="I104" i="45"/>
  <c r="L104" i="45"/>
  <c r="C106" i="45"/>
  <c r="E106" i="45"/>
  <c r="G106" i="45"/>
  <c r="I106" i="45"/>
  <c r="K106" i="45"/>
  <c r="L106" i="45"/>
  <c r="C108" i="45"/>
  <c r="E108" i="45"/>
  <c r="G108" i="45"/>
  <c r="I108" i="45"/>
  <c r="K108" i="45"/>
  <c r="L108" i="45"/>
  <c r="C110" i="45"/>
  <c r="E110" i="45"/>
  <c r="L110" i="45"/>
  <c r="L111" i="45"/>
  <c r="C97" i="45"/>
  <c r="E97" i="45"/>
  <c r="L97" i="45"/>
  <c r="C95" i="45"/>
  <c r="E95" i="45"/>
  <c r="G95" i="45"/>
  <c r="I95" i="45"/>
  <c r="K95" i="45"/>
  <c r="L95" i="45"/>
  <c r="C93" i="45"/>
  <c r="E93" i="45"/>
  <c r="G93" i="45"/>
  <c r="I93" i="45"/>
  <c r="K93" i="45"/>
  <c r="L93" i="45"/>
  <c r="C91" i="45"/>
  <c r="E91" i="45"/>
  <c r="G91" i="45"/>
  <c r="I91" i="45"/>
  <c r="L91" i="45"/>
  <c r="C89" i="45"/>
  <c r="E89" i="45"/>
  <c r="G89" i="45"/>
  <c r="I89" i="45"/>
  <c r="L89" i="45"/>
  <c r="C75" i="45"/>
  <c r="E75" i="45"/>
  <c r="G75" i="45"/>
  <c r="I75" i="45"/>
  <c r="L75" i="45"/>
  <c r="C77" i="45"/>
  <c r="E77" i="45"/>
  <c r="G77" i="45"/>
  <c r="I77" i="45"/>
  <c r="L77" i="45"/>
  <c r="C79" i="45"/>
  <c r="E79" i="45"/>
  <c r="G79" i="45"/>
  <c r="I79" i="45"/>
  <c r="K79" i="45"/>
  <c r="L79" i="45"/>
  <c r="C81" i="45"/>
  <c r="E81" i="45"/>
  <c r="G81" i="45"/>
  <c r="I81" i="45"/>
  <c r="K81" i="45"/>
  <c r="L81" i="45"/>
  <c r="C83" i="45"/>
  <c r="E83" i="45"/>
  <c r="G83" i="45"/>
  <c r="I83" i="45"/>
  <c r="L83" i="45"/>
  <c r="L84" i="45"/>
  <c r="C62" i="45"/>
  <c r="E62" i="45"/>
  <c r="G62" i="45"/>
  <c r="I62" i="45"/>
  <c r="L62" i="45"/>
  <c r="C64" i="45"/>
  <c r="E64" i="45"/>
  <c r="G64" i="45"/>
  <c r="I64" i="45"/>
  <c r="L64" i="45"/>
  <c r="C66" i="45"/>
  <c r="E66" i="45"/>
  <c r="G66" i="45"/>
  <c r="I66" i="45"/>
  <c r="K66" i="45"/>
  <c r="L66" i="45"/>
  <c r="C68" i="45"/>
  <c r="E68" i="45"/>
  <c r="G68" i="45"/>
  <c r="I68" i="45"/>
  <c r="K68" i="45"/>
  <c r="L68" i="45"/>
  <c r="C70" i="45"/>
  <c r="E70" i="45"/>
  <c r="G70" i="45"/>
  <c r="I70" i="45"/>
  <c r="L70" i="45"/>
  <c r="L71" i="45"/>
  <c r="C51" i="45"/>
  <c r="E51" i="45"/>
  <c r="L51" i="45"/>
  <c r="L52" i="45"/>
  <c r="C46" i="45"/>
  <c r="E46" i="45"/>
  <c r="L46" i="45"/>
  <c r="L47" i="45"/>
  <c r="C33" i="45"/>
  <c r="E33" i="45"/>
  <c r="G33" i="45"/>
  <c r="L33" i="45"/>
  <c r="C35" i="45"/>
  <c r="E35" i="45"/>
  <c r="G35" i="45"/>
  <c r="L35" i="45"/>
  <c r="L36" i="45"/>
  <c r="C26" i="45"/>
  <c r="E26" i="45"/>
  <c r="G26" i="45"/>
  <c r="L26" i="45"/>
  <c r="C28" i="45"/>
  <c r="E28" i="45"/>
  <c r="G28" i="45"/>
  <c r="L28" i="45"/>
  <c r="L29" i="45"/>
  <c r="C19" i="45"/>
  <c r="E19" i="45"/>
  <c r="G19" i="45"/>
  <c r="L19" i="45"/>
  <c r="C21" i="45"/>
  <c r="E21" i="45"/>
  <c r="G21" i="45"/>
  <c r="L21" i="45"/>
  <c r="L22" i="45"/>
  <c r="C12" i="45"/>
  <c r="E12" i="45"/>
  <c r="G12" i="45"/>
  <c r="L12" i="45"/>
  <c r="C14" i="45"/>
  <c r="E14" i="45"/>
  <c r="G14" i="45"/>
  <c r="L14" i="45"/>
  <c r="L15" i="45"/>
  <c r="BJ190" i="33"/>
  <c r="BJ191" i="33"/>
  <c r="BJ192" i="33"/>
  <c r="BJ193" i="33"/>
  <c r="BJ194" i="33"/>
  <c r="BJ195" i="33"/>
  <c r="BJ196" i="33"/>
  <c r="BJ197" i="33"/>
  <c r="BI190" i="33"/>
  <c r="BI191" i="33"/>
  <c r="BI192" i="33"/>
  <c r="BI193" i="33"/>
  <c r="BI194" i="33"/>
  <c r="BI195" i="33"/>
  <c r="BI196" i="33"/>
  <c r="BI197" i="33"/>
  <c r="BH197" i="33"/>
  <c r="BG190" i="33"/>
  <c r="BG191" i="33"/>
  <c r="BG192" i="33"/>
  <c r="BG193" i="33"/>
  <c r="BG194" i="33"/>
  <c r="BG195" i="33"/>
  <c r="BG196" i="33"/>
  <c r="BG197" i="33"/>
  <c r="BF197" i="33"/>
  <c r="BE190" i="33"/>
  <c r="BE191" i="33"/>
  <c r="BE192" i="33"/>
  <c r="BE193" i="33"/>
  <c r="BE194" i="33"/>
  <c r="BE195" i="33"/>
  <c r="BE196" i="33"/>
  <c r="BE197" i="33"/>
  <c r="BD197" i="33"/>
  <c r="BC190" i="33"/>
  <c r="BC191" i="33"/>
  <c r="BC192" i="33"/>
  <c r="BC193" i="33"/>
  <c r="BC194" i="33"/>
  <c r="BC195" i="33"/>
  <c r="BC196" i="33"/>
  <c r="BC197" i="33"/>
  <c r="BB197" i="33"/>
  <c r="BA190" i="33"/>
  <c r="BA191" i="33"/>
  <c r="BA192" i="33"/>
  <c r="BA193" i="33"/>
  <c r="BA194" i="33"/>
  <c r="BA195" i="33"/>
  <c r="BA196" i="33"/>
  <c r="BA197" i="33"/>
  <c r="AX190" i="33"/>
  <c r="AX191" i="33"/>
  <c r="AX192" i="33"/>
  <c r="AX193" i="33"/>
  <c r="AX194" i="33"/>
  <c r="AX195" i="33"/>
  <c r="AV196" i="33"/>
  <c r="AX196" i="33"/>
  <c r="AX197" i="33"/>
  <c r="AW190" i="33"/>
  <c r="AW191" i="33"/>
  <c r="AW192" i="33"/>
  <c r="AW193" i="33"/>
  <c r="AW194" i="33"/>
  <c r="AW195" i="33"/>
  <c r="AW196" i="33"/>
  <c r="AW197" i="33"/>
  <c r="AV197" i="33"/>
  <c r="AU190" i="33"/>
  <c r="AU191" i="33"/>
  <c r="AU192" i="33"/>
  <c r="AU193" i="33"/>
  <c r="AU194" i="33"/>
  <c r="AU195" i="33"/>
  <c r="AU196" i="33"/>
  <c r="AU197" i="33"/>
  <c r="AT197" i="33"/>
  <c r="AS190" i="33"/>
  <c r="AS191" i="33"/>
  <c r="AS192" i="33"/>
  <c r="AS193" i="33"/>
  <c r="AS194" i="33"/>
  <c r="AS195" i="33"/>
  <c r="AS196" i="33"/>
  <c r="AS197" i="33"/>
  <c r="AR197" i="33"/>
  <c r="AQ190" i="33"/>
  <c r="AQ191" i="33"/>
  <c r="AQ192" i="33"/>
  <c r="AQ193" i="33"/>
  <c r="AQ194" i="33"/>
  <c r="AQ195" i="33"/>
  <c r="AQ196" i="33"/>
  <c r="AQ197" i="33"/>
  <c r="AP197" i="33"/>
  <c r="AO190" i="33"/>
  <c r="AO191" i="33"/>
  <c r="AO192" i="33"/>
  <c r="AO193" i="33"/>
  <c r="AO194" i="33"/>
  <c r="AO195" i="33"/>
  <c r="AO196" i="33"/>
  <c r="AO197" i="33"/>
  <c r="G172" i="33"/>
  <c r="F172" i="33"/>
  <c r="E172" i="33"/>
  <c r="D172" i="33"/>
  <c r="C172" i="33"/>
  <c r="AZ147" i="33"/>
  <c r="AN147" i="33"/>
  <c r="AA146" i="33"/>
  <c r="AA147" i="33"/>
  <c r="O146" i="33"/>
  <c r="O147" i="33"/>
  <c r="C146" i="33"/>
  <c r="C147" i="33"/>
  <c r="AZ137" i="33"/>
  <c r="BC134" i="33"/>
  <c r="AZ138" i="33"/>
  <c r="BC135" i="33"/>
  <c r="AZ139" i="33"/>
  <c r="AZ142" i="33"/>
  <c r="AJ138" i="33"/>
  <c r="AJ141" i="33"/>
  <c r="AJ142" i="33"/>
  <c r="AA137" i="33"/>
  <c r="AG21" i="33"/>
  <c r="AG23" i="33"/>
  <c r="AA141" i="33"/>
  <c r="AA142" i="33"/>
  <c r="BC136" i="33"/>
  <c r="AZ140" i="33"/>
  <c r="AD136" i="33"/>
  <c r="AA140" i="33"/>
  <c r="AD135" i="33"/>
  <c r="AA139" i="33"/>
  <c r="AD134" i="33"/>
  <c r="AA138" i="33"/>
  <c r="AZ127" i="33"/>
  <c r="AZ128" i="33"/>
  <c r="AZ129" i="33"/>
  <c r="AZ130" i="33"/>
  <c r="AN127" i="33"/>
  <c r="AN128" i="33"/>
  <c r="AN129" i="33"/>
  <c r="AN130" i="33"/>
  <c r="AA127" i="33"/>
  <c r="AA128" i="33"/>
  <c r="AA129" i="33"/>
  <c r="AA130" i="33"/>
  <c r="O127" i="33"/>
  <c r="O128" i="33"/>
  <c r="O129" i="33"/>
  <c r="O130" i="33"/>
  <c r="AZ122" i="33"/>
  <c r="AA123" i="33"/>
  <c r="AZ124" i="33"/>
  <c r="AN122" i="33"/>
  <c r="AN124" i="33"/>
  <c r="AA122" i="33"/>
  <c r="AA124" i="33"/>
  <c r="O122" i="33"/>
  <c r="O124" i="33"/>
  <c r="AA117" i="33"/>
  <c r="AZ118" i="33"/>
  <c r="AN118" i="33"/>
  <c r="AA118" i="33"/>
  <c r="O118" i="33"/>
  <c r="AZ114" i="33"/>
  <c r="AN114" i="33"/>
  <c r="AA114" i="33"/>
  <c r="O114" i="33"/>
  <c r="AZ107" i="33"/>
  <c r="AZ108" i="33"/>
  <c r="AZ110" i="33"/>
  <c r="AN109" i="33"/>
  <c r="AN110" i="33"/>
  <c r="AA107" i="33"/>
  <c r="AA108" i="33"/>
  <c r="AA110" i="33"/>
  <c r="O109" i="33"/>
  <c r="O110" i="33"/>
  <c r="BH87" i="33"/>
  <c r="BH88" i="33"/>
  <c r="BH90" i="33"/>
  <c r="BH91" i="33"/>
  <c r="AR87" i="33"/>
  <c r="AR88" i="33"/>
  <c r="AR90" i="33"/>
  <c r="AR91" i="33"/>
  <c r="AI87" i="33"/>
  <c r="AI88" i="33"/>
  <c r="AI90" i="33"/>
  <c r="AI91" i="33"/>
  <c r="S87" i="33"/>
  <c r="S88" i="33"/>
  <c r="S90" i="33"/>
  <c r="S91" i="33"/>
  <c r="BA81" i="33"/>
  <c r="AN81" i="33"/>
  <c r="AA81" i="33"/>
  <c r="O81" i="33"/>
  <c r="BF42" i="33"/>
  <c r="BF44" i="33"/>
  <c r="BF62" i="33"/>
  <c r="BD42" i="33"/>
  <c r="BD44" i="33"/>
  <c r="BD61" i="33"/>
  <c r="BD62" i="33"/>
  <c r="AG42" i="33"/>
  <c r="AG43" i="33"/>
  <c r="AG44" i="33"/>
  <c r="AG61" i="33"/>
  <c r="AG62" i="33"/>
  <c r="AE42" i="33"/>
  <c r="AE43" i="33"/>
  <c r="AE44" i="33"/>
  <c r="AE61" i="33"/>
  <c r="AE62" i="33"/>
  <c r="BF61" i="33"/>
  <c r="BG54" i="33"/>
  <c r="BG55" i="33"/>
  <c r="AU55" i="33"/>
  <c r="AH54" i="33"/>
  <c r="AH55" i="33"/>
  <c r="V55" i="33"/>
  <c r="BF45" i="33"/>
  <c r="BD45" i="33"/>
  <c r="AG45" i="33"/>
  <c r="AE45" i="33"/>
  <c r="BI42" i="33"/>
  <c r="AJ42" i="33"/>
  <c r="AQ23" i="33"/>
  <c r="AN35" i="33"/>
  <c r="R23" i="33"/>
  <c r="O35" i="33"/>
  <c r="F23" i="33"/>
  <c r="C35" i="33"/>
  <c r="AN31" i="33"/>
  <c r="AN32" i="33"/>
  <c r="O31" i="33"/>
  <c r="O32" i="33"/>
  <c r="BB25" i="33"/>
  <c r="BA25" i="33"/>
  <c r="AO25" i="33"/>
  <c r="Q12" i="33"/>
  <c r="Q13" i="33"/>
  <c r="Q25" i="33"/>
  <c r="E12" i="33"/>
  <c r="E13" i="33"/>
  <c r="E25" i="33"/>
  <c r="D25" i="33"/>
  <c r="BH23" i="33"/>
  <c r="BG23" i="33"/>
  <c r="BF21" i="33"/>
  <c r="BF22" i="33"/>
  <c r="BF23" i="33"/>
  <c r="BC23" i="33"/>
  <c r="AI23" i="33"/>
  <c r="AH23" i="33"/>
  <c r="AD23" i="33"/>
  <c r="BH22" i="33"/>
  <c r="BC22" i="33"/>
  <c r="AD22" i="33"/>
  <c r="BH21" i="33"/>
  <c r="AN21" i="33"/>
  <c r="AI21" i="33"/>
  <c r="O21" i="33"/>
  <c r="C21" i="33"/>
  <c r="BB19" i="33"/>
  <c r="AC19" i="33"/>
  <c r="BD17" i="33"/>
  <c r="BH13" i="33"/>
  <c r="BH16" i="33"/>
  <c r="BG13" i="33"/>
  <c r="BG16" i="33"/>
  <c r="BC6" i="33"/>
  <c r="BF6" i="33"/>
  <c r="BC7" i="33"/>
  <c r="BF7" i="33"/>
  <c r="BC8" i="33"/>
  <c r="BF8" i="33"/>
  <c r="BC9" i="33"/>
  <c r="BF9" i="33"/>
  <c r="BF10" i="33"/>
  <c r="BC11" i="33"/>
  <c r="BF11" i="33"/>
  <c r="BF13" i="33"/>
  <c r="BF16" i="33"/>
  <c r="BE16" i="33"/>
  <c r="AT13" i="33"/>
  <c r="AT16" i="33"/>
  <c r="AS16" i="33"/>
  <c r="AR13" i="33"/>
  <c r="AR16" i="33"/>
  <c r="AD6" i="33"/>
  <c r="AG6" i="33"/>
  <c r="AD7" i="33"/>
  <c r="AG7" i="33"/>
  <c r="AD8" i="33"/>
  <c r="AG8" i="33"/>
  <c r="AD9" i="33"/>
  <c r="AG9" i="33"/>
  <c r="AG10" i="33"/>
  <c r="AD11" i="33"/>
  <c r="AG11" i="33"/>
  <c r="AG13" i="33"/>
  <c r="AG16" i="33"/>
  <c r="AF16" i="33"/>
  <c r="U13" i="33"/>
  <c r="U16" i="33"/>
  <c r="T16" i="33"/>
  <c r="S13" i="33"/>
  <c r="S16" i="33"/>
  <c r="I13" i="33"/>
  <c r="I16" i="33"/>
  <c r="H16" i="33"/>
  <c r="G13" i="33"/>
  <c r="G16" i="33"/>
  <c r="BC12" i="33"/>
  <c r="BC13" i="33"/>
  <c r="AP12" i="33"/>
  <c r="AQ12" i="33"/>
  <c r="AQ13" i="33"/>
  <c r="AP13" i="33"/>
  <c r="AD12" i="33"/>
  <c r="AD13" i="33"/>
  <c r="R12" i="33"/>
  <c r="R13" i="33"/>
  <c r="F12" i="33"/>
  <c r="F13" i="33"/>
  <c r="I133" i="46"/>
  <c r="I120" i="46"/>
  <c r="I104" i="46"/>
  <c r="I91" i="46"/>
  <c r="I75" i="46"/>
  <c r="I62" i="46"/>
  <c r="I46" i="46"/>
  <c r="I33" i="46"/>
  <c r="U22" i="46"/>
  <c r="T22" i="46"/>
  <c r="S22" i="46"/>
  <c r="U21" i="46"/>
  <c r="T21" i="46"/>
  <c r="S21" i="46"/>
  <c r="U20" i="46"/>
  <c r="T20" i="46"/>
  <c r="S20" i="46"/>
</calcChain>
</file>

<file path=xl/comments1.xml><?xml version="1.0" encoding="utf-8"?>
<comments xmlns="http://schemas.openxmlformats.org/spreadsheetml/2006/main">
  <authors>
    <author>Macintosh</author>
  </authors>
  <commentList>
    <comment ref="AE14" authorId="0">
      <text>
        <r>
          <rPr>
            <b/>
            <sz val="9"/>
            <color indexed="81"/>
            <rFont val="Calibri"/>
            <family val="2"/>
          </rPr>
          <t xml:space="preserve">20% alter SW-Kanal jetzt GrauW-Kanal (neue GrauW-Kanäle werden in MW-Kanal eingezogen=kein Fremdwasser) </t>
        </r>
      </text>
    </comment>
    <comment ref="AF14" authorId="0">
      <text>
        <r>
          <rPr>
            <b/>
            <sz val="9"/>
            <color indexed="81"/>
            <rFont val="Calibri"/>
            <family val="2"/>
          </rPr>
          <t>20% alter RW-Kanal + 60% alter MW-Kanal jetzt RW-Kanal</t>
        </r>
      </text>
    </comment>
    <comment ref="BD14" authorId="0">
      <text>
        <r>
          <rPr>
            <b/>
            <sz val="9"/>
            <color indexed="81"/>
            <rFont val="Calibri"/>
            <family val="2"/>
          </rPr>
          <t xml:space="preserve">20% alter SW-Kanal jetzt GrauW-Kanal (neue GrauW-Kanäle werden in MW-Kanal eingezogen=kein Fremdwasser) </t>
        </r>
      </text>
    </comment>
    <comment ref="BE14" authorId="0">
      <text>
        <r>
          <rPr>
            <b/>
            <sz val="9"/>
            <color indexed="81"/>
            <rFont val="Calibri"/>
            <family val="2"/>
          </rPr>
          <t>20% alter RW-Kanal + 60% alter MW-Kanal jetzt RW-Kanal</t>
        </r>
      </text>
    </comment>
    <comment ref="AG20" authorId="0">
      <text>
        <r>
          <rPr>
            <b/>
            <sz val="9"/>
            <color indexed="81"/>
            <rFont val="Calibri"/>
            <family val="2"/>
          </rPr>
          <t>ohne Spülmaschinenabwasser</t>
        </r>
      </text>
    </comment>
    <comment ref="AH20" authorId="0">
      <text>
        <r>
          <rPr>
            <b/>
            <sz val="9"/>
            <color indexed="81"/>
            <rFont val="Calibri"/>
            <family val="2"/>
          </rPr>
          <t>mit Spülmaschinenabwasser</t>
        </r>
      </text>
    </comment>
    <comment ref="AI20" authorId="0">
      <text>
        <r>
          <rPr>
            <b/>
            <sz val="9"/>
            <color indexed="81"/>
            <rFont val="Calibri"/>
            <family val="2"/>
          </rPr>
          <t>ohne Spülmaschinenabwasser</t>
        </r>
      </text>
    </comment>
    <comment ref="BF20" authorId="0">
      <text>
        <r>
          <rPr>
            <b/>
            <sz val="9"/>
            <color indexed="81"/>
            <rFont val="Calibri"/>
            <family val="2"/>
          </rPr>
          <t>ohne Spülmaschinenabwasser</t>
        </r>
      </text>
    </comment>
    <comment ref="BG20" authorId="0">
      <text>
        <r>
          <rPr>
            <b/>
            <sz val="9"/>
            <color indexed="81"/>
            <rFont val="Calibri"/>
            <family val="2"/>
          </rPr>
          <t>mit Spülmaschinenabwasser</t>
        </r>
      </text>
    </comment>
    <comment ref="BH20" authorId="0">
      <text>
        <r>
          <rPr>
            <b/>
            <sz val="9"/>
            <color indexed="81"/>
            <rFont val="Calibri"/>
            <family val="2"/>
          </rPr>
          <t>ohne Spülmaschinenabwasser</t>
        </r>
      </text>
    </comment>
  </commentList>
</comments>
</file>

<file path=xl/sharedStrings.xml><?xml version="1.0" encoding="utf-8"?>
<sst xmlns="http://schemas.openxmlformats.org/spreadsheetml/2006/main" count="2393" uniqueCount="918">
  <si>
    <t>Referenz 2080 A</t>
    <phoneticPr fontId="39" type="noConversion"/>
  </si>
  <si>
    <t>-</t>
    <phoneticPr fontId="39" type="noConversion"/>
  </si>
  <si>
    <t>Fixkosten;
vorh. Ableitung
und Behandlung</t>
    <phoneticPr fontId="39" type="noConversion"/>
  </si>
  <si>
    <t>Trinkwassermenge Status-quo</t>
    <phoneticPr fontId="39" type="noConversion"/>
  </si>
  <si>
    <t>Kosten Trinkwasser-versorgung</t>
    <phoneticPr fontId="39" type="noConversion"/>
  </si>
  <si>
    <t>Anteil Fixkosten Status-quo</t>
    <phoneticPr fontId="39" type="noConversion"/>
  </si>
  <si>
    <t>Wartung; Instandhaltung (w)</t>
  </si>
  <si>
    <t>% (K)</t>
  </si>
  <si>
    <t>Betriebskosten (b)</t>
  </si>
  <si>
    <t>Durchsatz</t>
  </si>
  <si>
    <r>
      <t>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/Jahr</t>
    </r>
  </si>
  <si>
    <t>Spezifische Kosten</t>
  </si>
  <si>
    <t>Michel</t>
    <phoneticPr fontId="39" type="noConversion"/>
  </si>
  <si>
    <t>Referenz*</t>
    <phoneticPr fontId="39" type="noConversion"/>
  </si>
  <si>
    <t>Fixkosten;
vorh. Ableitung 
und Behandlung</t>
    <phoneticPr fontId="39" type="noConversion"/>
  </si>
  <si>
    <t>aktuelle Annahme (Tab. 8)</t>
    <phoneticPr fontId="39" type="noConversion"/>
  </si>
  <si>
    <t>(aus Datei Relevanz-Unischerheit-Kosten.ppt)</t>
    <phoneticPr fontId="39" type="noConversion"/>
  </si>
  <si>
    <t>Einwohner (E):</t>
    <phoneticPr fontId="39" type="noConversion"/>
  </si>
  <si>
    <t xml:space="preserve">Anteil vorhandener Bestand
</t>
    <phoneticPr fontId="39" type="noConversion"/>
  </si>
  <si>
    <t xml:space="preserve">Fixkosten </t>
    <phoneticPr fontId="39" type="noConversion"/>
  </si>
  <si>
    <t xml:space="preserve">Variable Kosten 
</t>
    <phoneticPr fontId="39" type="noConversion"/>
  </si>
  <si>
    <t>beh. Grauwasser</t>
    <phoneticPr fontId="39" type="noConversion"/>
  </si>
  <si>
    <t>-</t>
    <phoneticPr fontId="39" type="noConversion"/>
  </si>
  <si>
    <t>Preissteigerung</t>
    <phoneticPr fontId="39" type="noConversion"/>
  </si>
  <si>
    <t xml:space="preserve">Anteil Ableitung
 </t>
    <phoneticPr fontId="39" type="noConversion"/>
  </si>
  <si>
    <t>Mischwasserentlastung [-]:</t>
    <phoneticPr fontId="39" type="noConversion"/>
  </si>
  <si>
    <t>Anteil Trennsystem [-]:</t>
    <phoneticPr fontId="39" type="noConversion"/>
  </si>
  <si>
    <t>Kosten weitergehende Behandlung</t>
    <phoneticPr fontId="39" type="noConversion"/>
  </si>
  <si>
    <t xml:space="preserve">Anteil Fixkosten Status-quo 
</t>
    <phoneticPr fontId="39" type="noConversion"/>
  </si>
  <si>
    <t xml:space="preserve">Anteil Umnutzung Mischwasserkanal
</t>
    <phoneticPr fontId="39" type="noConversion"/>
  </si>
  <si>
    <t>Status quo</t>
    <phoneticPr fontId="39" type="noConversion"/>
  </si>
  <si>
    <t>€/m3 Schwarzwasser ohne Erlöse (dynamische Entstehungskosten)</t>
    <phoneticPr fontId="39" type="noConversion"/>
  </si>
  <si>
    <t>Kosten Regenwasser-entsorgung</t>
    <phoneticPr fontId="39" type="noConversion"/>
  </si>
  <si>
    <t xml:space="preserve">Anteil Variable Kosten Status-quo
</t>
    <phoneticPr fontId="39" type="noConversion"/>
  </si>
  <si>
    <t>%</t>
    <phoneticPr fontId="39" type="noConversion"/>
  </si>
  <si>
    <t>Abwärme (Abwasser, Grauwasser)</t>
    <phoneticPr fontId="0" type="noConversion"/>
  </si>
  <si>
    <t>EW-spez. P-Fracht</t>
    <phoneticPr fontId="39" type="noConversion"/>
  </si>
  <si>
    <t>Eingabefelder</t>
    <phoneticPr fontId="39" type="noConversion"/>
  </si>
  <si>
    <t>Siedlungsfläche; gesamt [ha]:</t>
    <phoneticPr fontId="39" type="noConversion"/>
  </si>
  <si>
    <t>Anteil versiegelte Fläche [-]:</t>
    <phoneticPr fontId="39" type="noConversion"/>
  </si>
  <si>
    <t>relative Energiepreissteigerung</t>
    <phoneticPr fontId="39" type="noConversion"/>
  </si>
  <si>
    <t>Status-quo</t>
    <phoneticPr fontId="39" type="noConversion"/>
  </si>
  <si>
    <t>Input</t>
    <phoneticPr fontId="39" type="noConversion"/>
  </si>
  <si>
    <t xml:space="preserve">Fixkosten 
</t>
    <phoneticPr fontId="39" type="noConversion"/>
  </si>
  <si>
    <t>Abwärmerückgewinnung</t>
    <phoneticPr fontId="39" type="noConversion"/>
  </si>
  <si>
    <t>Transformation* 2080</t>
    <phoneticPr fontId="39" type="noConversion"/>
  </si>
  <si>
    <r>
      <t xml:space="preserve">Spez Kosten = Annuität + Wartung und Instandhaltung + Betrieb: 
</t>
    </r>
    <r>
      <rPr>
        <sz val="11"/>
        <rFont val="Arial"/>
        <family val="2"/>
      </rPr>
      <t>Annuität = Jahreskosten aus Zinsen und Tilgung (€/Jahr)</t>
    </r>
    <phoneticPr fontId="26" type="noConversion"/>
  </si>
  <si>
    <t>K x (i/100 x (1+i/100)n)/((1+i/100)n-1)+Spez. Betr-kosten/a</t>
    <phoneticPr fontId="39" type="noConversion"/>
  </si>
  <si>
    <t>Variable Kosten;
Umnutzung ehem. Mischwasserkanal</t>
    <phoneticPr fontId="39" type="noConversion"/>
  </si>
  <si>
    <t>bezüglich ASL, über Betrachtungszeitraum 70 Jahre</t>
    <phoneticPr fontId="39" type="noConversion"/>
  </si>
  <si>
    <t>Eingabe Eckdaten</t>
    <phoneticPr fontId="39" type="noConversion"/>
  </si>
  <si>
    <t>Transformation*</t>
    <phoneticPr fontId="39" type="noConversion"/>
  </si>
  <si>
    <t>Referenz 2080</t>
    <phoneticPr fontId="39" type="noConversion"/>
  </si>
  <si>
    <t>Transformation 2080</t>
    <phoneticPr fontId="39" type="noConversion"/>
  </si>
  <si>
    <t>Referenz* 2080</t>
    <phoneticPr fontId="39" type="noConversion"/>
  </si>
  <si>
    <t xml:space="preserve">Kosten Abwärmenutzung
</t>
    <phoneticPr fontId="39" type="noConversion"/>
  </si>
  <si>
    <t>Gesamtkosten; Neubau Abwärmenutzung</t>
    <phoneticPr fontId="39" type="noConversion"/>
  </si>
  <si>
    <t>Regen- und Mischwassermenge Status-quo</t>
    <phoneticPr fontId="39" type="noConversion"/>
  </si>
  <si>
    <t>Fixkosten; Umnutzung ehem. Mischwasserkanal</t>
    <phoneticPr fontId="39" type="noConversion"/>
  </si>
  <si>
    <t xml:space="preserve">Abwassermenge Status-quo
</t>
    <phoneticPr fontId="39" type="noConversion"/>
  </si>
  <si>
    <t>Kosten Regenwasser-entsorgung</t>
    <phoneticPr fontId="39" type="noConversion"/>
  </si>
  <si>
    <t xml:space="preserve">Anteil Fixkosten Status-quo
</t>
    <phoneticPr fontId="39" type="noConversion"/>
  </si>
  <si>
    <t>Bezug: 100.000 EW und Anlagenneubau</t>
  </si>
  <si>
    <t>€/kg P,eli</t>
  </si>
  <si>
    <t>Energie (MWh/a)</t>
    <phoneticPr fontId="39" type="noConversion"/>
  </si>
  <si>
    <t>Stoffe (t/a)</t>
    <phoneticPr fontId="39" type="noConversion"/>
  </si>
  <si>
    <r>
      <t>Wasser (Mio. m</t>
    </r>
    <r>
      <rPr>
        <vertAlign val="super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>/a)</t>
    </r>
    <phoneticPr fontId="39" type="noConversion"/>
  </si>
  <si>
    <t>Kostenbilanz</t>
    <phoneticPr fontId="39" type="noConversion"/>
  </si>
  <si>
    <t>Umweltbilanz</t>
    <phoneticPr fontId="39" type="noConversion"/>
  </si>
  <si>
    <t xml:space="preserve">Anteil Variable Kosten Status-quo
 </t>
    <phoneticPr fontId="39" type="noConversion"/>
  </si>
  <si>
    <t>Anteil Mischsystem [-]:</t>
    <phoneticPr fontId="39" type="noConversion"/>
  </si>
  <si>
    <t>Einwohnerdichte [E/ha]:</t>
    <phoneticPr fontId="39" type="noConversion"/>
  </si>
  <si>
    <t>Arbeitsplatzdichte [AP/ha]:</t>
    <phoneticPr fontId="39" type="noConversion"/>
  </si>
  <si>
    <t xml:space="preserve">*
</t>
    <phoneticPr fontId="39" type="noConversion"/>
  </si>
  <si>
    <t>Kosten weitergehende Behandlung</t>
    <phoneticPr fontId="39" type="noConversion"/>
  </si>
  <si>
    <t xml:space="preserve">*
</t>
    <phoneticPr fontId="39" type="noConversion"/>
  </si>
  <si>
    <t xml:space="preserve">+
</t>
    <phoneticPr fontId="39" type="noConversion"/>
  </si>
  <si>
    <t>Kosten weitergehende Behandlung</t>
    <phoneticPr fontId="39" type="noConversion"/>
  </si>
  <si>
    <t xml:space="preserve">Anteil Ableitung
</t>
    <phoneticPr fontId="39" type="noConversion"/>
  </si>
  <si>
    <t>Arbeitsplätze (AP):</t>
    <phoneticPr fontId="39" type="noConversion"/>
  </si>
  <si>
    <t>Einwohnerwerte [-]:</t>
    <phoneticPr fontId="39" type="noConversion"/>
  </si>
  <si>
    <t>Einwohnergleichwert AP [-]:</t>
    <phoneticPr fontId="39" type="noConversion"/>
  </si>
  <si>
    <t>Σ Wassernutzung</t>
    <phoneticPr fontId="39" type="noConversion"/>
  </si>
  <si>
    <t>Betrachtungs-zeitraum:</t>
    <phoneticPr fontId="39" type="noConversion"/>
  </si>
  <si>
    <t>Wirkungsgrad BHKW (el)</t>
    <phoneticPr fontId="39" type="noConversion"/>
  </si>
  <si>
    <t>Wirkungsgrad BHKW (th)</t>
    <phoneticPr fontId="39" type="noConversion"/>
  </si>
  <si>
    <t>Mio. €/a</t>
    <phoneticPr fontId="39" type="noConversion"/>
  </si>
  <si>
    <t>Restwasser</t>
  </si>
  <si>
    <t>Produktertrag</t>
    <phoneticPr fontId="39" type="noConversion"/>
  </si>
  <si>
    <t>MAP</t>
    <phoneticPr fontId="39" type="noConversion"/>
  </si>
  <si>
    <t>ASL</t>
    <phoneticPr fontId="39" type="noConversion"/>
  </si>
  <si>
    <t>Annuität =</t>
  </si>
  <si>
    <t>Vergärung Schwarzwasser (elektrisch)</t>
    <phoneticPr fontId="0" type="noConversion"/>
  </si>
  <si>
    <t xml:space="preserve">Fixkosten 
</t>
    <phoneticPr fontId="39" type="noConversion"/>
  </si>
  <si>
    <t>relative Preissteigerung</t>
    <phoneticPr fontId="39" type="noConversion"/>
  </si>
  <si>
    <t>Versiegelte Fläche [ha]:</t>
    <phoneticPr fontId="39" type="noConversion"/>
  </si>
  <si>
    <t>Niederschlag [mm/a]:</t>
    <phoneticPr fontId="39" type="noConversion"/>
  </si>
  <si>
    <t>Abflussbeiwert [-]:</t>
    <phoneticPr fontId="39" type="noConversion"/>
  </si>
  <si>
    <t>Kosten Trinkwasser-versorgung</t>
    <phoneticPr fontId="39" type="noConversion"/>
  </si>
  <si>
    <t>Anteil Variable Kosten Status-quo</t>
    <phoneticPr fontId="39" type="noConversion"/>
  </si>
  <si>
    <t>Kostenanteile</t>
    <phoneticPr fontId="39" type="noConversion"/>
  </si>
  <si>
    <t>Regen- und Mischwassermenge Status-quo</t>
    <phoneticPr fontId="39" type="noConversion"/>
  </si>
  <si>
    <t xml:space="preserve">Summe </t>
    <phoneticPr fontId="26" type="noConversion"/>
  </si>
  <si>
    <t>Refe-
renz
2080</t>
    <phoneticPr fontId="39" type="noConversion"/>
  </si>
  <si>
    <t>Gesamtkosten;
Neubau Abwärme-
nutzung</t>
    <phoneticPr fontId="39" type="noConversion"/>
  </si>
  <si>
    <t xml:space="preserve">*
</t>
    <phoneticPr fontId="39" type="noConversion"/>
  </si>
  <si>
    <t>Wirkungsgrad</t>
  </si>
  <si>
    <t>t CO2/a</t>
    <phoneticPr fontId="39" type="noConversion"/>
  </si>
  <si>
    <t>CO2-Äquivalenz (vereinfacht)</t>
    <phoneticPr fontId="39" type="noConversion"/>
  </si>
  <si>
    <t>Gesamt</t>
  </si>
  <si>
    <t>Kochen und Trinken</t>
  </si>
  <si>
    <t>Vergärung Schwarzwasser (thermisch)</t>
    <phoneticPr fontId="0" type="noConversion"/>
  </si>
  <si>
    <t>bezüglich MAP, über Betrachtungszeitraum 70 Jahre</t>
    <phoneticPr fontId="39" type="noConversion"/>
  </si>
  <si>
    <t>sind in Stromverbrauch (- 0,65 kWh/m³) enthalten</t>
    <phoneticPr fontId="39" type="noConversion"/>
  </si>
  <si>
    <t>Trinkwasser</t>
  </si>
  <si>
    <t>entfällt (Stoffstrom-trennung)</t>
    <phoneticPr fontId="39" type="noConversion"/>
  </si>
  <si>
    <t>Paris 2009</t>
  </si>
  <si>
    <t>Energieertrag</t>
    <phoneticPr fontId="39" type="noConversion"/>
  </si>
  <si>
    <t>Fällung (P)</t>
    <phoneticPr fontId="39" type="noConversion"/>
  </si>
  <si>
    <r>
      <t>kWh/m</t>
    </r>
    <r>
      <rPr>
        <vertAlign val="superscript"/>
        <sz val="11"/>
        <color indexed="8"/>
        <rFont val="Arial"/>
        <family val="2"/>
      </rPr>
      <t>3</t>
    </r>
    <phoneticPr fontId="39" type="noConversion"/>
  </si>
  <si>
    <t xml:space="preserve">K </t>
    <phoneticPr fontId="39" type="noConversion"/>
  </si>
  <si>
    <t>€/m³</t>
    <phoneticPr fontId="26" type="noConversion"/>
  </si>
  <si>
    <t>€/m³</t>
    <phoneticPr fontId="26" type="noConversion"/>
  </si>
  <si>
    <t xml:space="preserve">kgN/EW/a </t>
  </si>
  <si>
    <t>(78%ige Schwefelsäure)</t>
  </si>
  <si>
    <t>KWB 2007</t>
    <phoneticPr fontId="39" type="noConversion"/>
  </si>
  <si>
    <t xml:space="preserve">Fixkosten
</t>
    <phoneticPr fontId="39" type="noConversion"/>
  </si>
  <si>
    <t xml:space="preserve">Kosten Behandlung Grauwasser
</t>
    <phoneticPr fontId="39" type="noConversion"/>
  </si>
  <si>
    <t xml:space="preserve"> Kosten Regenwasser-entsorgung </t>
    <phoneticPr fontId="39" type="noConversion"/>
  </si>
  <si>
    <t xml:space="preserve">Anteil Variable Kosten Status-quo
</t>
    <phoneticPr fontId="39" type="noConversion"/>
  </si>
  <si>
    <t xml:space="preserve">Abwassermenge Status-quo
</t>
    <phoneticPr fontId="39" type="noConversion"/>
  </si>
  <si>
    <t xml:space="preserve"> Anteil Ableitung 
</t>
    <phoneticPr fontId="39" type="noConversion"/>
  </si>
  <si>
    <t>Trinkwasserversorgung</t>
    <phoneticPr fontId="39" type="noConversion"/>
  </si>
  <si>
    <t>Output</t>
    <phoneticPr fontId="39" type="noConversion"/>
  </si>
  <si>
    <t>Einsatzstoffe</t>
    <phoneticPr fontId="39" type="noConversion"/>
  </si>
  <si>
    <t>N-Lufstrippung</t>
    <phoneticPr fontId="39" type="noConversion"/>
  </si>
  <si>
    <t>g/g N</t>
    <phoneticPr fontId="39" type="noConversion"/>
  </si>
  <si>
    <t>-</t>
    <phoneticPr fontId="39" type="noConversion"/>
  </si>
  <si>
    <t>€/t</t>
    <phoneticPr fontId="39" type="noConversion"/>
  </si>
  <si>
    <t>-</t>
    <phoneticPr fontId="39" type="noConversion"/>
  </si>
  <si>
    <t>tN/a</t>
  </si>
  <si>
    <t>tN/1000m³</t>
  </si>
  <si>
    <t xml:space="preserve">tP/a  </t>
  </si>
  <si>
    <t>Kosten Regenwasser-entsorgung</t>
    <phoneticPr fontId="39" type="noConversion"/>
  </si>
  <si>
    <t xml:space="preserve">Anteil Fixkosten Status-quo
</t>
    <phoneticPr fontId="39" type="noConversion"/>
  </si>
  <si>
    <t>spez. N-Fracht</t>
  </si>
  <si>
    <t xml:space="preserve">K </t>
  </si>
  <si>
    <t>Einwohnerdichte [E/ha]</t>
  </si>
  <si>
    <t>Einwohner (E)</t>
  </si>
  <si>
    <t>DWA 2008a</t>
    <phoneticPr fontId="39" type="noConversion"/>
  </si>
  <si>
    <t>70 Jahre (für die komplette Umgestaltung der Wasserinfrastrukturen in den Szenarien Referenz und Transformation)</t>
    <phoneticPr fontId="39" type="noConversion"/>
  </si>
  <si>
    <t>Q-spez. Energieertrag</t>
    <phoneticPr fontId="39" type="noConversion"/>
  </si>
  <si>
    <t>Elektrische Energie</t>
    <phoneticPr fontId="26" type="noConversion"/>
  </si>
  <si>
    <t>Energie gesamt</t>
    <phoneticPr fontId="26" type="noConversion"/>
  </si>
  <si>
    <t>Umrechnungsfaktor, ausgehend von €/a</t>
    <phoneticPr fontId="0" type="noConversion"/>
  </si>
  <si>
    <t>Schwarzwasservergärung und Vakuumsystem</t>
  </si>
  <si>
    <t xml:space="preserve">€ </t>
  </si>
  <si>
    <t>Reinvestition</t>
  </si>
  <si>
    <t>Status-Quo</t>
    <phoneticPr fontId="39" type="noConversion"/>
  </si>
  <si>
    <t xml:space="preserve">g Fe/g P (1,5 fache Überdosierung) </t>
    <phoneticPr fontId="39" type="noConversion"/>
  </si>
  <si>
    <t>Grauwasser</t>
    <phoneticPr fontId="39" type="noConversion"/>
  </si>
  <si>
    <t>Stromerzeugung Faulgas</t>
  </si>
  <si>
    <t xml:space="preserve">Anteil Ableitung
</t>
    <phoneticPr fontId="39" type="noConversion"/>
  </si>
  <si>
    <t xml:space="preserve">Anteil Variable Kosten Status-quo 
</t>
    <phoneticPr fontId="39" type="noConversion"/>
  </si>
  <si>
    <t xml:space="preserve">*
</t>
    <phoneticPr fontId="39" type="noConversion"/>
  </si>
  <si>
    <t xml:space="preserve">*
</t>
    <phoneticPr fontId="39" type="noConversion"/>
  </si>
  <si>
    <t>Schwarzwasser</t>
    <phoneticPr fontId="26" type="noConversion"/>
  </si>
  <si>
    <t>Einwohnerwerte [-]</t>
    <phoneticPr fontId="39" type="noConversion"/>
  </si>
  <si>
    <t>kg</t>
  </si>
  <si>
    <t>s/h</t>
  </si>
  <si>
    <t>kJ/kg/K</t>
  </si>
  <si>
    <t>W_A</t>
  </si>
  <si>
    <t>kW</t>
  </si>
  <si>
    <t>k</t>
  </si>
  <si>
    <t>CSB-Restelimination</t>
    <phoneticPr fontId="39" type="noConversion"/>
  </si>
  <si>
    <t>Telefonnotiz (TN) ABA Straubing</t>
    <phoneticPr fontId="39" type="noConversion"/>
  </si>
  <si>
    <t>spez. Energieertrag</t>
    <phoneticPr fontId="39" type="noConversion"/>
  </si>
  <si>
    <t>m3/m3 Braunwasser</t>
    <phoneticPr fontId="39" type="noConversion"/>
  </si>
  <si>
    <t xml:space="preserve">Anteil Umnutzung Mischwasserkanal
</t>
    <phoneticPr fontId="39" type="noConversion"/>
  </si>
  <si>
    <t xml:space="preserve">Anteil Umnutzung Mischwasserkanal
</t>
    <phoneticPr fontId="39" type="noConversion"/>
  </si>
  <si>
    <t>Temperatur</t>
  </si>
  <si>
    <t>P im Klärschlamm liegt außerhalb Systemgrenze</t>
  </si>
  <si>
    <t>keine Rückgewinnung von P und N</t>
    <phoneticPr fontId="39" type="noConversion"/>
  </si>
  <si>
    <t>kg/kg P,rec</t>
  </si>
  <si>
    <t>kg/kg N,rec</t>
  </si>
  <si>
    <t>Betriebswasser (Betriebswasser-
nutzung + Grauwasserentsorgung)</t>
    <phoneticPr fontId="26" type="noConversion"/>
  </si>
  <si>
    <t>Investition (K)</t>
  </si>
  <si>
    <t>(Real-) Zinssatz (i)</t>
  </si>
  <si>
    <t>%</t>
  </si>
  <si>
    <t>Abschreibungsdauer (n)</t>
  </si>
  <si>
    <t>Jahre</t>
  </si>
  <si>
    <t>Annuität</t>
  </si>
  <si>
    <t>€/Jahr</t>
  </si>
  <si>
    <t>Betriebswassernutzung
(behand. Grau-/Regenwasser)</t>
    <phoneticPr fontId="26" type="noConversion"/>
  </si>
  <si>
    <t>Energiebedarf</t>
    <phoneticPr fontId="39" type="noConversion"/>
  </si>
  <si>
    <t>Trinkwasserversorgung</t>
    <phoneticPr fontId="39" type="noConversion"/>
  </si>
  <si>
    <t>DWA - Deutsche Vereinigung für Wasserwirtschaft, Abwasser und Abfall e.V. (Hrsg.) (2008): Ermittlung der Energiepotenziale der deutschen Wasserwirtschaft - Entwurf, DWA-Themen. Hennef.</t>
    <phoneticPr fontId="21" type="noConversion"/>
  </si>
  <si>
    <t>Herbst 2008</t>
    <phoneticPr fontId="21" type="noConversion"/>
  </si>
  <si>
    <t>Vergärung</t>
    <phoneticPr fontId="39" type="noConversion"/>
  </si>
  <si>
    <t>Reuse-Raten</t>
    <phoneticPr fontId="39" type="noConversion"/>
  </si>
  <si>
    <t>m3/EW/a</t>
    <phoneticPr fontId="21" type="noConversion"/>
  </si>
  <si>
    <t>m3/a</t>
    <phoneticPr fontId="21" type="noConversion"/>
  </si>
  <si>
    <t>N-Rückgewinnung (Strom)</t>
  </si>
  <si>
    <t>Vergleich Schwarzwasser</t>
  </si>
  <si>
    <t>Regenwasserbehandlung</t>
    <phoneticPr fontId="39" type="noConversion"/>
  </si>
  <si>
    <t>[m³/(AP*a)]</t>
  </si>
  <si>
    <t>[m³/a]</t>
  </si>
  <si>
    <t>K</t>
    <phoneticPr fontId="39" type="noConversion"/>
  </si>
  <si>
    <t>t CO2/a</t>
  </si>
  <si>
    <t>Arbeitsplatzdichte [AP/ha]</t>
  </si>
  <si>
    <t>t N/1000 m³</t>
  </si>
  <si>
    <t>Rückgewonnene P-Fracht</t>
  </si>
  <si>
    <t>Anteil Trennsystem [-]</t>
  </si>
  <si>
    <t>Anteil Mischsystem [-]</t>
  </si>
  <si>
    <t>Pinnekamp, Johannes (Hrsg.) (2008):Phosphorrückgewinnung bei der Abwasserreinigung - Entwicklung eines Verfahrens zur Integration in kommunale Kläranlagen. Band 212. Aachen.</t>
  </si>
  <si>
    <t>Thermische Energie</t>
  </si>
  <si>
    <t>Fremdwasser [m³/(ha*a)]</t>
  </si>
  <si>
    <t>kg H2SO4/kg N</t>
  </si>
  <si>
    <t>(rückgewonnen)</t>
  </si>
  <si>
    <t>Haushalte</t>
  </si>
  <si>
    <t>Gewerbe</t>
  </si>
  <si>
    <t>Haushalt+Gewerbe</t>
  </si>
  <si>
    <t>Luftstrippung (N)</t>
    <phoneticPr fontId="39" type="noConversion"/>
  </si>
  <si>
    <t>Faulgas</t>
    <phoneticPr fontId="39" type="noConversion"/>
  </si>
  <si>
    <r>
      <t>kWh/m</t>
    </r>
    <r>
      <rPr>
        <vertAlign val="superscript"/>
        <sz val="11"/>
        <color indexed="8"/>
        <rFont val="Arial"/>
        <family val="2"/>
      </rPr>
      <t>3</t>
    </r>
    <phoneticPr fontId="39" type="noConversion"/>
  </si>
  <si>
    <t>DWA - Deutsche Vereinigung für Wasserwirtschaft, Abwasser und Abfall e.V. (Hrsg.) (2008): Neuartige Sanitärsysteme, DWA-Themen. Hennef.</t>
  </si>
  <si>
    <t>Fixkosten;
Neubau Ableitung</t>
    <phoneticPr fontId="39" type="noConversion"/>
  </si>
  <si>
    <t>Kosten weitergehende Behandlung</t>
    <phoneticPr fontId="39" type="noConversion"/>
  </si>
  <si>
    <t>Gesamtkosten Neubau Behandlung</t>
    <phoneticPr fontId="39" type="noConversion"/>
  </si>
  <si>
    <t>kWh/E/a</t>
    <phoneticPr fontId="39" type="noConversion"/>
  </si>
  <si>
    <t xml:space="preserve">Fixkosten;
vorh. Ableitung </t>
    <phoneticPr fontId="39" type="noConversion"/>
  </si>
  <si>
    <t xml:space="preserve">Abwassermenge Status-quo
</t>
    <phoneticPr fontId="39" type="noConversion"/>
  </si>
  <si>
    <t>Variable Kosten;
vorh. Ableitung 
und Behandlung</t>
    <phoneticPr fontId="39" type="noConversion"/>
  </si>
  <si>
    <t>fix (Kapitalkosten)</t>
    <phoneticPr fontId="39" type="noConversion"/>
  </si>
  <si>
    <t>Eingabe Annahmen</t>
    <phoneticPr fontId="39" type="noConversion"/>
  </si>
  <si>
    <t>Diese Annahmen sind zu prüfen und ggf. anzupassen!</t>
    <phoneticPr fontId="39" type="noConversion"/>
  </si>
  <si>
    <t>Einheit</t>
    <phoneticPr fontId="39" type="noConversion"/>
  </si>
  <si>
    <t>-</t>
    <phoneticPr fontId="26" type="noConversion"/>
  </si>
  <si>
    <t>Schlammwasserbehandlung</t>
    <phoneticPr fontId="26" type="noConversion"/>
  </si>
  <si>
    <t>Erläuterungen</t>
    <phoneticPr fontId="39" type="noConversion"/>
  </si>
  <si>
    <t>S Wassernutzung</t>
  </si>
  <si>
    <t>-</t>
    <phoneticPr fontId="26" type="noConversion"/>
  </si>
  <si>
    <t>Schwarzwasserentsorgung</t>
    <phoneticPr fontId="39" type="noConversion"/>
  </si>
  <si>
    <t>Fäzes</t>
    <phoneticPr fontId="39" type="noConversion"/>
  </si>
  <si>
    <t>-</t>
    <phoneticPr fontId="39" type="noConversion"/>
  </si>
  <si>
    <t>MAP</t>
    <phoneticPr fontId="39" type="noConversion"/>
  </si>
  <si>
    <t>Urin</t>
    <phoneticPr fontId="39" type="noConversion"/>
  </si>
  <si>
    <t>Schwarzwasserentsorgung</t>
    <phoneticPr fontId="26" type="noConversion"/>
  </si>
  <si>
    <t>-</t>
    <phoneticPr fontId="26" type="noConversion"/>
  </si>
  <si>
    <t>Stoffe gesamt</t>
    <phoneticPr fontId="26" type="noConversion"/>
  </si>
  <si>
    <t>Thermische Energie</t>
    <phoneticPr fontId="26" type="noConversion"/>
  </si>
  <si>
    <t>-</t>
    <phoneticPr fontId="26" type="noConversion"/>
  </si>
  <si>
    <t>Fällmittel</t>
  </si>
  <si>
    <t>Ausgabe Mengenbilanzen</t>
    <phoneticPr fontId="0" type="noConversion"/>
  </si>
  <si>
    <t>kg CO2/kWh</t>
  </si>
  <si>
    <t>P-Rückgewinnung</t>
    <phoneticPr fontId="0" type="noConversion"/>
  </si>
  <si>
    <t>kg NaOH/kg N</t>
  </si>
  <si>
    <t>t NaOH/a</t>
  </si>
  <si>
    <t>€/t NaOH</t>
  </si>
  <si>
    <t>Trinkwasserversorgung</t>
  </si>
  <si>
    <t>DWA 2008</t>
    <phoneticPr fontId="39" type="noConversion"/>
  </si>
  <si>
    <t>Masse Medium</t>
  </si>
  <si>
    <t>kJ/s = kWh</t>
  </si>
  <si>
    <t>(pro m³ und K)</t>
  </si>
  <si>
    <t>%iges MgO</t>
    <phoneticPr fontId="39" type="noConversion"/>
  </si>
  <si>
    <t>Szenario zur grundlegenden Umgestaltung des Wasserinfrastruktursystems im Status-quo</t>
    <phoneticPr fontId="39" type="noConversion"/>
  </si>
  <si>
    <t>Einwohnerwerte:</t>
    <phoneticPr fontId="39" type="noConversion"/>
  </si>
  <si>
    <t>(Zwischen-)Summe</t>
    <phoneticPr fontId="39" type="noConversion"/>
  </si>
  <si>
    <t>Grauwasser</t>
    <phoneticPr fontId="39" type="noConversion"/>
  </si>
  <si>
    <t>TN Dr. Zang 0173/7092540 (Roediger) 08.04.09</t>
  </si>
  <si>
    <t>Betriebskosten</t>
  </si>
  <si>
    <t>tP/a Zulauf ABA</t>
  </si>
  <si>
    <t>Wärmerückgewinnung nicht über Wärmetauscher im Kanal, nur über BHKW nach anaerober Schlammstabilisierung, Nutzung intern auf ABA</t>
    <phoneticPr fontId="39" type="noConversion"/>
  </si>
  <si>
    <t>spez. Fällmittelbedarf</t>
  </si>
  <si>
    <t>jährl. Fällmittelbedarf</t>
  </si>
  <si>
    <t>Steigerung gegenüber Status-quo um 0,2 kWh/m³, d.h.</t>
  </si>
  <si>
    <t>Faulgas</t>
  </si>
  <si>
    <t>kWh/m³ Faulgas</t>
  </si>
  <si>
    <t>Veränderung in Bezug auf Status-quo</t>
    <phoneticPr fontId="39" type="noConversion"/>
  </si>
  <si>
    <t>-</t>
    <phoneticPr fontId="26" type="noConversion"/>
  </si>
  <si>
    <t>Trinkwasser</t>
    <phoneticPr fontId="26" type="noConversion"/>
  </si>
  <si>
    <t>spez. Betrieb und Reinvest</t>
  </si>
  <si>
    <t>spez. Schwarzwasser gesamt</t>
  </si>
  <si>
    <t>Schwarzwasser</t>
  </si>
  <si>
    <t>Wärmeentzug</t>
  </si>
  <si>
    <t>EW-spez. Energiebedarf</t>
    <phoneticPr fontId="39" type="noConversion"/>
  </si>
  <si>
    <t>Q-spez. Energiebedarf</t>
    <phoneticPr fontId="39" type="noConversion"/>
  </si>
  <si>
    <t>g FeClSO4/g P</t>
    <phoneticPr fontId="39" type="noConversion"/>
  </si>
  <si>
    <t>t P/1000 m³</t>
  </si>
  <si>
    <t>N-Fracht</t>
  </si>
  <si>
    <t>Anteil Variable Kos-ten Transformation</t>
    <phoneticPr fontId="39" type="noConversion"/>
  </si>
  <si>
    <t>Kosten Trinkwasser-
versorgung</t>
    <phoneticPr fontId="39" type="noConversion"/>
  </si>
  <si>
    <t>Kosten Trinkwasser-versorgung</t>
    <phoneticPr fontId="39" type="noConversion"/>
  </si>
  <si>
    <t xml:space="preserve"> Anteil Variable Kosten Referenz</t>
    <phoneticPr fontId="39" type="noConversion"/>
  </si>
  <si>
    <t>Kosten Betriebswasser-nutzung</t>
    <phoneticPr fontId="39" type="noConversion"/>
  </si>
  <si>
    <t xml:space="preserve">*
</t>
    <phoneticPr fontId="39" type="noConversion"/>
  </si>
  <si>
    <t xml:space="preserve">Gesamtkosten;
Neubau
</t>
    <phoneticPr fontId="39" type="noConversion"/>
  </si>
  <si>
    <t>Schlammwasserbehandlung</t>
    <phoneticPr fontId="39" type="noConversion"/>
  </si>
  <si>
    <t>Schwarzwasserentsorgung</t>
    <phoneticPr fontId="39" type="noConversion"/>
  </si>
  <si>
    <t>Magnesium-Ammonium-Phosphat</t>
    <phoneticPr fontId="26" type="noConversion"/>
  </si>
  <si>
    <t>Ammonium-Sulfat-Lösung</t>
    <phoneticPr fontId="26" type="noConversion"/>
  </si>
  <si>
    <t xml:space="preserve">Vakuumsystem </t>
    <phoneticPr fontId="39" type="noConversion"/>
  </si>
  <si>
    <t>N im Klärschlamm liegt außerhalb Systemgrenze</t>
  </si>
  <si>
    <t>Wert</t>
    <phoneticPr fontId="39" type="noConversion"/>
  </si>
  <si>
    <t>Status-quo</t>
    <phoneticPr fontId="39" type="noConversion"/>
  </si>
  <si>
    <t>Referenz</t>
    <phoneticPr fontId="39" type="noConversion"/>
  </si>
  <si>
    <t>Transformation</t>
    <phoneticPr fontId="39" type="noConversion"/>
  </si>
  <si>
    <t>ASL</t>
    <phoneticPr fontId="39" type="noConversion"/>
  </si>
  <si>
    <t>g P/(E*d)</t>
    <phoneticPr fontId="39" type="noConversion"/>
  </si>
  <si>
    <t>spez. N-Fracht</t>
    <phoneticPr fontId="39" type="noConversion"/>
  </si>
  <si>
    <t>Wirkungsgrad N; ASL</t>
    <phoneticPr fontId="39" type="noConversion"/>
  </si>
  <si>
    <t>Faulgasanfall</t>
    <phoneticPr fontId="39" type="noConversion"/>
  </si>
  <si>
    <t>spez. P-Fracht</t>
    <phoneticPr fontId="39" type="noConversion"/>
  </si>
  <si>
    <t>€/t</t>
    <phoneticPr fontId="39" type="noConversion"/>
  </si>
  <si>
    <t>%/a</t>
    <phoneticPr fontId="39" type="noConversion"/>
  </si>
  <si>
    <t>L/(E*d)</t>
    <phoneticPr fontId="39" type="noConversion"/>
  </si>
  <si>
    <t>Herbst et al. 2007</t>
    <phoneticPr fontId="39" type="noConversion"/>
  </si>
  <si>
    <t>Betrieblicher Kennzahlenvergleich für die öffentliche Wasserversorgung und die kommunale Abwasserentsorgung. www.bkwasser.de.</t>
    <phoneticPr fontId="39" type="noConversion"/>
  </si>
  <si>
    <t>Literatur</t>
    <phoneticPr fontId="39" type="noConversion"/>
  </si>
  <si>
    <t>DWA 2008a</t>
    <phoneticPr fontId="21" type="noConversion"/>
  </si>
  <si>
    <t>t NaOH/1000 m³</t>
  </si>
  <si>
    <t>Schmutz-/Mischwasserkanal</t>
  </si>
  <si>
    <t>Mischwasserentlastung</t>
  </si>
  <si>
    <t>Wirkungsgrad P; MAP</t>
    <phoneticPr fontId="39" type="noConversion"/>
  </si>
  <si>
    <t>Erlöse</t>
    <phoneticPr fontId="39" type="noConversion"/>
  </si>
  <si>
    <t>thermische Energie</t>
    <phoneticPr fontId="39" type="noConversion"/>
  </si>
  <si>
    <t>elektrische Energie</t>
    <phoneticPr fontId="39" type="noConversion"/>
  </si>
  <si>
    <t>Abwärmenutzung (delta T)</t>
    <phoneticPr fontId="39" type="noConversion"/>
  </si>
  <si>
    <t>Ausgabe Kostenbilanzen</t>
    <phoneticPr fontId="26" type="noConversion"/>
  </si>
  <si>
    <t>Gesamtsumme</t>
    <phoneticPr fontId="0" type="noConversion"/>
  </si>
  <si>
    <t>Betriebswassernutzung</t>
    <phoneticPr fontId="39" type="noConversion"/>
  </si>
  <si>
    <t>[m³/(E*a)]</t>
  </si>
  <si>
    <t>Pilotprojekt SCST</t>
  </si>
  <si>
    <t>Größere Menge; keine Anpassung vorh. Netze und Anlagen an Bedarf; 20 % mehr Regenwasserkanal (ehemals Mischwasserkanal); neue weitergehende Behandlung</t>
  </si>
  <si>
    <t>Regenwasser (inkl. Mischwasser)</t>
    <phoneticPr fontId="26" type="noConversion"/>
  </si>
  <si>
    <t>Status-
quo
2010</t>
    <phoneticPr fontId="39" type="noConversion"/>
  </si>
  <si>
    <t>Trans-formation
2080</t>
    <phoneticPr fontId="39" type="noConversion"/>
  </si>
  <si>
    <t>Wirkungsgrad (Bogensieb, MAP)</t>
  </si>
  <si>
    <t>Fläche Wärmetauscher</t>
  </si>
  <si>
    <t>UBA 2008</t>
  </si>
  <si>
    <t>€/ t P,rec (Äquivalent für MgO)</t>
  </si>
  <si>
    <t>t H2SO4/t N</t>
  </si>
  <si>
    <t>€/ t H2SO4</t>
  </si>
  <si>
    <t>t H2SO4/a</t>
  </si>
  <si>
    <t>Regenwasser</t>
    <phoneticPr fontId="39" type="noConversion"/>
  </si>
  <si>
    <t>kWh/(E*a)</t>
  </si>
  <si>
    <t>dicht besiedelt</t>
  </si>
  <si>
    <t>tP/a</t>
  </si>
  <si>
    <t>Grauwasserentsorgung</t>
  </si>
  <si>
    <t>tP/1000m³</t>
  </si>
  <si>
    <t>MAP-Fällung</t>
  </si>
  <si>
    <t>Eingabefelder</t>
  </si>
  <si>
    <t>Arbeitsplätze (AP)</t>
  </si>
  <si>
    <t>Anteil Bestand Schmutzwasser-kanal</t>
    <phoneticPr fontId="39" type="noConversion"/>
  </si>
  <si>
    <t>Trinkwassermenge Referenz*</t>
    <phoneticPr fontId="39" type="noConversion"/>
  </si>
  <si>
    <t>Trinkwassermenge Transformation</t>
    <phoneticPr fontId="39" type="noConversion"/>
  </si>
  <si>
    <t>Trinkwassermenge Transformation*</t>
    <phoneticPr fontId="39" type="noConversion"/>
  </si>
  <si>
    <t>Betriebswasser-menge Transforma-tion</t>
    <phoneticPr fontId="39" type="noConversion"/>
  </si>
  <si>
    <t>Abwasserentsorgung</t>
    <phoneticPr fontId="39" type="noConversion"/>
  </si>
  <si>
    <t>Regenwasserentsorgung</t>
    <phoneticPr fontId="39" type="noConversion"/>
  </si>
  <si>
    <t>Stickstofffällung</t>
  </si>
  <si>
    <t>Nitri + vorgeschaltete Deni</t>
  </si>
  <si>
    <t>-</t>
    <phoneticPr fontId="26" type="noConversion"/>
  </si>
  <si>
    <t>g N/(E*d)</t>
    <phoneticPr fontId="39" type="noConversion"/>
  </si>
  <si>
    <t>Wasserwirtschaft im Spannungsfeld: Zwischen Qualität und Energieeffizienz. Wwt Heft 3, S. M10-M12.</t>
    <phoneticPr fontId="21" type="noConversion"/>
  </si>
  <si>
    <t>Wendland 2008</t>
    <phoneticPr fontId="21" type="noConversion"/>
  </si>
  <si>
    <t xml:space="preserve">Anerobic Digestion of Blackwater and Kitchen Refuse. Hamburger Berichte zur Siedlungswasserwirtschaft, Band 66. GFEU, Hamburg. </t>
    <phoneticPr fontId="21" type="noConversion"/>
  </si>
  <si>
    <t>P-Fällmittelbedarf (MgO)</t>
    <phoneticPr fontId="0" type="noConversion"/>
  </si>
  <si>
    <t>mg CSB/L im Ablauf</t>
    <phoneticPr fontId="39" type="noConversion"/>
  </si>
  <si>
    <t>weitergehende Regenwasserbehandlung</t>
    <phoneticPr fontId="0" type="noConversion"/>
  </si>
  <si>
    <t>Bewässerung</t>
  </si>
  <si>
    <t>Status-quo:</t>
    <phoneticPr fontId="39" type="noConversion"/>
  </si>
  <si>
    <t>System im Ist-Zustand</t>
    <phoneticPr fontId="39" type="noConversion"/>
  </si>
  <si>
    <t>Referenz:</t>
    <phoneticPr fontId="39" type="noConversion"/>
  </si>
  <si>
    <t>Dockhorn</t>
    <phoneticPr fontId="21" type="noConversion"/>
  </si>
  <si>
    <t>Einwohner + Einwohnergleichwert der Arbeitsplätze (1 EGW=X AP); nur zur Berechnung Schlammwassermenge, Faulgasmenge und Stofffrachten (weil diese nur EW-bezogen vorliegen und keine AP-spezifischen Daten vorhanden sind)</t>
    <phoneticPr fontId="39" type="noConversion"/>
  </si>
  <si>
    <t>Phosporfällung</t>
  </si>
  <si>
    <t>Simultanfällung</t>
  </si>
  <si>
    <t>Magnesium-Ammonium-Phosphat (MAP)</t>
    <phoneticPr fontId="0" type="noConversion"/>
  </si>
  <si>
    <t>tFeClSO4/a</t>
    <phoneticPr fontId="39" type="noConversion"/>
  </si>
  <si>
    <r>
      <t>Fällmitteleinsatz  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SO</t>
    </r>
    <r>
      <rPr>
        <vertAlign val="subscript"/>
        <sz val="11"/>
        <rFont val="Arial"/>
        <family val="2"/>
      </rPr>
      <t>4</t>
    </r>
    <phoneticPr fontId="0" type="noConversion"/>
  </si>
  <si>
    <t>Paris, Stefania (2009): Bedeutung der Membrantechnik für das Grauwasserrecycling. In: fbr - Fachvereinigung Betriebs- und Regenwassernutzung e.V. (Hrsg.): Grauwasser-Recycling - Wasser zweimal nutzen. Band 12. S. 13-30. Darmstadt.</t>
  </si>
  <si>
    <t>Ammonium-Sulfat-Lösung (ASL)</t>
    <phoneticPr fontId="0" type="noConversion"/>
  </si>
  <si>
    <t>Kosten weitergehende Behandlung</t>
    <phoneticPr fontId="39" type="noConversion"/>
  </si>
  <si>
    <t>-</t>
    <phoneticPr fontId="39" type="noConversion"/>
  </si>
  <si>
    <t>-</t>
    <phoneticPr fontId="39" type="noConversion"/>
  </si>
  <si>
    <t xml:space="preserve">Anteil Fixkosten Status-quo
</t>
    <phoneticPr fontId="39" type="noConversion"/>
  </si>
  <si>
    <t>Kosten Regenwasser-entsorgung</t>
    <phoneticPr fontId="39" type="noConversion"/>
  </si>
  <si>
    <t>Anteil Fixkosten Transformation</t>
    <phoneticPr fontId="39" type="noConversion"/>
  </si>
  <si>
    <t>Erlöse Stoffe
Referenz*</t>
    <phoneticPr fontId="39" type="noConversion"/>
  </si>
  <si>
    <t xml:space="preserve">+
</t>
    <phoneticPr fontId="39" type="noConversion"/>
  </si>
  <si>
    <t>Erlöse Stoffe
Referenz</t>
    <phoneticPr fontId="39" type="noConversion"/>
  </si>
  <si>
    <t>Kosten Trinkwasser-
versorgung</t>
    <phoneticPr fontId="39" type="noConversion"/>
  </si>
  <si>
    <t>kWh/m3 Braunwasser</t>
    <phoneticPr fontId="39" type="noConversion"/>
  </si>
  <si>
    <t>Regenwasser</t>
  </si>
  <si>
    <t>-</t>
  </si>
  <si>
    <t>P-Rückgewinnung (Strom)</t>
  </si>
  <si>
    <t>Sind in dem betrachteten Gebiet keine Wasserinfrastrukturen vorhanden oder können vorhandene nicht mehr genutzt werden (z. B. Neubau- oder Konversionsgebiet),  dann ist in den Eingabefeldern "Anteil Trennsystem" und "Anteil Mischsystem" eine Null einzutragen (hierdurch werden unterschiedliche Ansätze bei der Kostenbilanz im Bestand bzw. beim Neubau berücksichtigt)</t>
    <phoneticPr fontId="39" type="noConversion"/>
  </si>
  <si>
    <t>g P/(E*d)</t>
    <phoneticPr fontId="39" type="noConversion"/>
  </si>
  <si>
    <t>Gewichtung</t>
    <phoneticPr fontId="39" type="noConversion"/>
  </si>
  <si>
    <t>Kosten und Erlöse (Mio. €/a)</t>
    <phoneticPr fontId="39" type="noConversion"/>
  </si>
  <si>
    <t>Ressourcen / Entsorgung</t>
    <phoneticPr fontId="39" type="noConversion"/>
  </si>
  <si>
    <t>rückgewonnene N-Fracht</t>
  </si>
  <si>
    <t>nur N-Elimination, keine Rückgewinnung</t>
  </si>
  <si>
    <t>keine ABA vorhanden</t>
  </si>
  <si>
    <t>Wärmetauscher</t>
  </si>
  <si>
    <t>Spülwasser</t>
    <phoneticPr fontId="21" type="noConversion"/>
  </si>
  <si>
    <t>Urin</t>
    <phoneticPr fontId="21" type="noConversion"/>
  </si>
  <si>
    <t>Fäzes</t>
    <phoneticPr fontId="21" type="noConversion"/>
  </si>
  <si>
    <t>Luftstrippung (Schlammwässer)</t>
  </si>
  <si>
    <t>Volumenströme</t>
    <phoneticPr fontId="39" type="noConversion"/>
  </si>
  <si>
    <t>g/g P</t>
    <phoneticPr fontId="39" type="noConversion"/>
  </si>
  <si>
    <t>Betriebswasssernutzung</t>
  </si>
  <si>
    <t>€/MWh</t>
    <phoneticPr fontId="39" type="noConversion"/>
  </si>
  <si>
    <t>Fremdwasser</t>
    <phoneticPr fontId="39" type="noConversion"/>
  </si>
  <si>
    <t>Summe</t>
    <phoneticPr fontId="39" type="noConversion"/>
  </si>
  <si>
    <t>Trinkwasser</t>
    <phoneticPr fontId="39" type="noConversion"/>
  </si>
  <si>
    <t>K</t>
  </si>
  <si>
    <t>t MgO/1000m3</t>
  </si>
  <si>
    <t>Schlammwässer (P, N)</t>
    <phoneticPr fontId="39" type="noConversion"/>
  </si>
  <si>
    <t>Rahmenbedingungen</t>
    <phoneticPr fontId="39" type="noConversion"/>
  </si>
  <si>
    <t>t P/a</t>
  </si>
  <si>
    <t>ABA pauschal</t>
    <phoneticPr fontId="39" type="noConversion"/>
  </si>
  <si>
    <t>Jahresmenge</t>
    <phoneticPr fontId="39" type="noConversion"/>
  </si>
  <si>
    <t>Wertstoffe</t>
  </si>
  <si>
    <t xml:space="preserve">rückgewonnene P-Konz. </t>
    <phoneticPr fontId="39" type="noConversion"/>
  </si>
  <si>
    <t>% Rückgewinnung aus Klärschlammasche  (Herbst etal 2007)</t>
  </si>
  <si>
    <t>tP/m³</t>
  </si>
  <si>
    <t xml:space="preserve">rückgewonnene N-Konz. </t>
  </si>
  <si>
    <t>m³/(E*d)</t>
  </si>
  <si>
    <t>m³/(E*a)</t>
  </si>
  <si>
    <t>kWh/a</t>
  </si>
  <si>
    <t>Trinkwasserversorgung</t>
    <phoneticPr fontId="0" type="noConversion"/>
  </si>
  <si>
    <t>UBA - Umweltbundesamt (Hrsg.) (2007): Rückgewinnung eines schadstofffreien, mineralischen Kombinationsdüngers "Magnesiumammoniumphosphat - MAP" aus Abwasser und Klärschlamm. UBA-Texte 25/07. Dessau-Roßlau.</t>
  </si>
  <si>
    <t>Trinkwassermenge Referenz</t>
    <phoneticPr fontId="39" type="noConversion"/>
  </si>
  <si>
    <t>Geringere spez. Menge; keine Anpassung vorh. Netze und Anlagen an Bedarf</t>
  </si>
  <si>
    <t>Anteil Bestand Schmutzwasserkanal</t>
    <phoneticPr fontId="39" type="noConversion"/>
  </si>
  <si>
    <t xml:space="preserve">Anteil Ableitung
</t>
    <phoneticPr fontId="39" type="noConversion"/>
  </si>
  <si>
    <t xml:space="preserve">Kosten Behandlung Grauwasser
</t>
    <phoneticPr fontId="39" type="noConversion"/>
  </si>
  <si>
    <t>Variante</t>
  </si>
  <si>
    <t>Formel</t>
  </si>
  <si>
    <t>(Mio. €/a)</t>
  </si>
  <si>
    <t>Vergärung Schwarzwaser</t>
    <phoneticPr fontId="39" type="noConversion"/>
  </si>
  <si>
    <t xml:space="preserve">spez. Energiebedarf </t>
    <phoneticPr fontId="39" type="noConversion"/>
  </si>
  <si>
    <t>Q-spez. Energie gesamt</t>
    <phoneticPr fontId="39" type="noConversion"/>
  </si>
  <si>
    <t>fbr - Fachvereinigung Betriebs- und Regenwassernutzung e.V. (Hrsg.) (2005): Grauwasser-Recycling. Planungsgrundlagen und Betriebshinweise. Hinweisblatt H 201. Darmstadt.</t>
  </si>
  <si>
    <t>spez. P-Fracht</t>
    <phoneticPr fontId="39" type="noConversion"/>
  </si>
  <si>
    <t>Wertstoffe</t>
    <phoneticPr fontId="39" type="noConversion"/>
  </si>
  <si>
    <t>Anteil versiegelte Fläche [-]</t>
  </si>
  <si>
    <t>Montag 2008</t>
  </si>
  <si>
    <t>Montag 2008</t>
    <phoneticPr fontId="39" type="noConversion"/>
  </si>
  <si>
    <t>N-Rückgewinnung (Wärme)</t>
  </si>
  <si>
    <t>Pawlowski 2009</t>
    <phoneticPr fontId="21" type="noConversion"/>
  </si>
  <si>
    <t>Toilettenspülung</t>
  </si>
  <si>
    <t>Sonstiges</t>
  </si>
  <si>
    <t>Körperpflege</t>
  </si>
  <si>
    <t xml:space="preserve">Variable Kosten
</t>
    <phoneticPr fontId="39" type="noConversion"/>
  </si>
  <si>
    <t>Pawlowski 2009</t>
    <phoneticPr fontId="39" type="noConversion"/>
  </si>
  <si>
    <t>P und N</t>
    <phoneticPr fontId="39" type="noConversion"/>
  </si>
  <si>
    <t>Herbst etal 2007</t>
  </si>
  <si>
    <t>Summe thermisch</t>
    <phoneticPr fontId="0" type="noConversion"/>
  </si>
  <si>
    <t>Desinfektion von biologisch gereinigtem Abwasser. Korrespondenz Abwasser, Abfall. Heft 06, S.593-599.</t>
    <phoneticPr fontId="21" type="noConversion"/>
  </si>
  <si>
    <t>jährl. CO2-Ausstoß</t>
    <phoneticPr fontId="39" type="noConversion"/>
  </si>
  <si>
    <t>kg/kg P,rec</t>
    <phoneticPr fontId="39" type="noConversion"/>
  </si>
  <si>
    <t>gemäß DWA</t>
    <phoneticPr fontId="21" type="noConversion"/>
  </si>
  <si>
    <t>Ausgabe Kennwerte</t>
    <phoneticPr fontId="39" type="noConversion"/>
  </si>
  <si>
    <t>dünn besiedelt</t>
  </si>
  <si>
    <t>€/(E*a) Betriebskosten</t>
  </si>
  <si>
    <t>Variante 5 (5000 EW, 1000 Haushalte, 50 a)</t>
  </si>
  <si>
    <t>spez. Gesamtprojektkosten</t>
  </si>
  <si>
    <t>spez. Reinvestition</t>
  </si>
  <si>
    <t>MAP (Schwarzwasser, flüssige Phase)</t>
  </si>
  <si>
    <t>Regenwasserentsorgung</t>
    <phoneticPr fontId="0" type="noConversion"/>
  </si>
  <si>
    <r>
      <t xml:space="preserve">mg CSB/L im Ablauf </t>
    </r>
    <r>
      <rPr>
        <sz val="11"/>
        <color indexed="10"/>
        <rFont val="Calibri"/>
        <family val="2"/>
      </rPr>
      <t>KWB 2007</t>
    </r>
    <phoneticPr fontId="39" type="noConversion"/>
  </si>
  <si>
    <t>spez. Energieertrag</t>
    <phoneticPr fontId="39" type="noConversion"/>
  </si>
  <si>
    <t>Q-spez. Energieertrag</t>
    <phoneticPr fontId="39" type="noConversion"/>
  </si>
  <si>
    <t>kWh/m³</t>
  </si>
  <si>
    <t>€/m³</t>
  </si>
  <si>
    <t>Wendland 2008</t>
    <phoneticPr fontId="39" type="noConversion"/>
  </si>
  <si>
    <t>Abwasser</t>
    <phoneticPr fontId="26" type="noConversion"/>
  </si>
  <si>
    <t>Grauwasserbehandlung</t>
    <phoneticPr fontId="39" type="noConversion"/>
  </si>
  <si>
    <t>Mischwasserbehandlung</t>
    <phoneticPr fontId="39" type="noConversion"/>
  </si>
  <si>
    <t>rückgewonnene P-Fracht</t>
    <phoneticPr fontId="39" type="noConversion"/>
  </si>
  <si>
    <t>Mischwasserentlastung [-]</t>
  </si>
  <si>
    <t>Öko-Effizienz</t>
    <phoneticPr fontId="39" type="noConversion"/>
  </si>
  <si>
    <t>Schlammasche (Schwarzwasser)</t>
  </si>
  <si>
    <r>
      <t xml:space="preserve">% </t>
    </r>
    <r>
      <rPr>
        <sz val="11"/>
        <color indexed="55"/>
        <rFont val="Arial"/>
        <family val="2"/>
      </rPr>
      <t>η</t>
    </r>
    <r>
      <rPr>
        <sz val="11"/>
        <color indexed="55"/>
        <rFont val="Calibri"/>
        <family val="2"/>
      </rPr>
      <t xml:space="preserve"> </t>
    </r>
  </si>
  <si>
    <t>Versiegelte Fläche [ha]</t>
  </si>
  <si>
    <t>GrauW-Kanal</t>
    <phoneticPr fontId="39" type="noConversion"/>
  </si>
  <si>
    <t>Schlammwasserbehandlung</t>
  </si>
  <si>
    <t>networks</t>
    <phoneticPr fontId="21" type="noConversion"/>
  </si>
  <si>
    <t>TN ABA Straubing</t>
  </si>
  <si>
    <t xml:space="preserve">Anteil Ableitung
</t>
    <phoneticPr fontId="39" type="noConversion"/>
  </si>
  <si>
    <t xml:space="preserve">Anteil Fixkosten Status-quo
</t>
    <phoneticPr fontId="39" type="noConversion"/>
  </si>
  <si>
    <t>Regen- und Mischwassermenge Status-quo</t>
    <phoneticPr fontId="39" type="noConversion"/>
  </si>
  <si>
    <t xml:space="preserve">Anteil vorhandener Bestand
</t>
    <phoneticPr fontId="39" type="noConversion"/>
  </si>
  <si>
    <t>Erlöse;
Stoffe und Energie</t>
    <phoneticPr fontId="39" type="noConversion"/>
  </si>
  <si>
    <t xml:space="preserve">Anteil Behandlung
</t>
    <phoneticPr fontId="39" type="noConversion"/>
  </si>
  <si>
    <t>Anteil Neubau Schmutzwasserkanal</t>
    <phoneticPr fontId="39" type="noConversion"/>
  </si>
  <si>
    <t>kW/m²/K</t>
  </si>
  <si>
    <t>m²</t>
  </si>
  <si>
    <t>Anteil Fixkosten Status-quo</t>
    <phoneticPr fontId="39" type="noConversion"/>
  </si>
  <si>
    <t xml:space="preserve"> Kosten Trinkwasser-
versorgung</t>
    <phoneticPr fontId="39" type="noConversion"/>
  </si>
  <si>
    <t>Anteil Variable Kosten Status-quo</t>
    <phoneticPr fontId="39" type="noConversion"/>
  </si>
  <si>
    <t>Kosten Trinkwasser-versorgung</t>
    <phoneticPr fontId="39" type="noConversion"/>
  </si>
  <si>
    <t>Grauwasserentsorgung</t>
    <phoneticPr fontId="0" type="noConversion"/>
  </si>
  <si>
    <t>Abwasserentsorgung</t>
    <phoneticPr fontId="0" type="noConversion"/>
  </si>
  <si>
    <t>CSB-Restelimination (Strom)</t>
    <phoneticPr fontId="0" type="noConversion"/>
  </si>
  <si>
    <t>Überstandswasser Eindicker</t>
    <phoneticPr fontId="39" type="noConversion"/>
  </si>
  <si>
    <t>Regenwasserentsorgung</t>
    <phoneticPr fontId="26" type="noConversion"/>
  </si>
  <si>
    <t>Grauwasserentsorgung</t>
    <phoneticPr fontId="26" type="noConversion"/>
  </si>
  <si>
    <t>m³/a</t>
  </si>
  <si>
    <t>Herbst, Heinrich / Montag, David / Gethke, Katrin / Pinnekamp, Johannes (2007): Potenziale, Techniken und Kosten der Phosphorrückgewinnung aus kommunalem Abwasser. In: Korrespondenz Abwasser Abfall, Heft 10 (54), S. 1013-1024.</t>
  </si>
  <si>
    <t>-</t>
    <phoneticPr fontId="26" type="noConversion"/>
  </si>
  <si>
    <t>MW-Entlastung</t>
    <phoneticPr fontId="39" type="noConversion"/>
  </si>
  <si>
    <t>spez. Betriebskosten</t>
  </si>
  <si>
    <t>spez. Investition</t>
  </si>
  <si>
    <t>variabel (Betriebskosten)</t>
    <phoneticPr fontId="39" type="noConversion"/>
  </si>
  <si>
    <t>€/m³</t>
    <phoneticPr fontId="26" type="noConversion"/>
  </si>
  <si>
    <t>pH-Wert Einstellung Lufstrippung (optional)</t>
  </si>
  <si>
    <t>spez. P-Fracht</t>
    <phoneticPr fontId="39" type="noConversion"/>
  </si>
  <si>
    <t>P-Fracht</t>
    <phoneticPr fontId="39" type="noConversion"/>
  </si>
  <si>
    <r>
      <t>P-Fällmittelbedarf (FeClSO</t>
    </r>
    <r>
      <rPr>
        <vertAlign val="subscript"/>
        <sz val="11"/>
        <color indexed="8"/>
        <rFont val="Arial"/>
        <family val="2"/>
      </rPr>
      <t>4</t>
    </r>
    <r>
      <rPr>
        <sz val="11"/>
        <color indexed="8"/>
        <rFont val="Arial"/>
        <family val="2"/>
      </rPr>
      <t>)</t>
    </r>
    <phoneticPr fontId="0" type="noConversion"/>
  </si>
  <si>
    <t>PRISA, RWTH Aachen (Schlammwässer)</t>
  </si>
  <si>
    <t>spez. Kosten</t>
  </si>
  <si>
    <t>Nutzungsart</t>
  </si>
  <si>
    <t>Vakuumsystem</t>
  </si>
  <si>
    <t>Investition</t>
  </si>
  <si>
    <t>Kosten</t>
  </si>
  <si>
    <t>Summe</t>
  </si>
  <si>
    <t>N-Gewinnung</t>
  </si>
  <si>
    <t>(50%ige Natronlauge)</t>
  </si>
  <si>
    <t>(optional für pH, wenn nicht über Temperatur)</t>
    <phoneticPr fontId="39" type="noConversion"/>
  </si>
  <si>
    <t>mit Bioabfall</t>
    <phoneticPr fontId="39" type="noConversion"/>
  </si>
  <si>
    <t>m3/(E*d)</t>
    <phoneticPr fontId="39" type="noConversion"/>
  </si>
  <si>
    <t>UBA - Umweltbundesamt (Hrsg.) (2008): Steigerung der Energieeffizienz auf kommunalen Kläranlagen. UBA-Texte 11/08. Dessau-Roßlau.</t>
  </si>
  <si>
    <t>Verwendungszweck</t>
  </si>
  <si>
    <t>[%]</t>
  </si>
  <si>
    <t>Geringere (spez.) Menge; Anpassung vorh. Netze und Anlagen an Bedarf</t>
  </si>
  <si>
    <t>40 % vorh. Schmutzwasserkanal wird Grauwasserkanal; in 60 % vorhandenen Mischwasserkanal (jetzt Regenwasser) wird neuer Grauwasserkanal eingezogen; keine Anpassung vorh. Kanäle an Bedarf</t>
  </si>
  <si>
    <t>Kosten Trinkwasser-versorgung</t>
    <phoneticPr fontId="39" type="noConversion"/>
  </si>
  <si>
    <t>Grauwassermenge Transformation* (ohne Fremdwasser)</t>
    <phoneticPr fontId="39" type="noConversion"/>
  </si>
  <si>
    <t>Abwassermenge Referenz</t>
    <phoneticPr fontId="39" type="noConversion"/>
  </si>
  <si>
    <t>Abwassermenge Referenz</t>
    <phoneticPr fontId="39" type="noConversion"/>
  </si>
  <si>
    <t xml:space="preserve">Abwassermenge Referenz
</t>
    <phoneticPr fontId="39" type="noConversion"/>
  </si>
  <si>
    <t>Abwassermenge Referenz*</t>
    <phoneticPr fontId="39" type="noConversion"/>
  </si>
  <si>
    <t>siehe Annahmen</t>
    <phoneticPr fontId="39" type="noConversion"/>
  </si>
  <si>
    <t xml:space="preserve">Anteil Ableitung 
</t>
    <phoneticPr fontId="39" type="noConversion"/>
  </si>
  <si>
    <t xml:space="preserve">Anteil Fixkosten Transformation
</t>
    <phoneticPr fontId="39" type="noConversion"/>
  </si>
  <si>
    <t>Anteil Bestand Schmutzwasser-kanal</t>
    <phoneticPr fontId="39" type="noConversion"/>
  </si>
  <si>
    <t>Regen- und Mischwassermenge Status-quo</t>
    <phoneticPr fontId="39" type="noConversion"/>
  </si>
  <si>
    <t>Kosten Regenwasser-entsorgung</t>
    <phoneticPr fontId="39" type="noConversion"/>
  </si>
  <si>
    <t>kWh/m3 Braunwasser</t>
    <phoneticPr fontId="39" type="noConversion"/>
  </si>
  <si>
    <t>Siedlungsfläche; gesamt [ha]</t>
  </si>
  <si>
    <t>Elektrische Energie</t>
  </si>
  <si>
    <t>tP/1000m³ = kgP/m³</t>
  </si>
  <si>
    <t>Niederschlag [mm/a]</t>
  </si>
  <si>
    <t>Q-spez. Stromverbrauch</t>
    <phoneticPr fontId="39" type="noConversion"/>
  </si>
  <si>
    <t>Luftstrippung</t>
  </si>
  <si>
    <t>Status-quo 2010</t>
    <phoneticPr fontId="39" type="noConversion"/>
  </si>
  <si>
    <t>€/kg N,eli</t>
  </si>
  <si>
    <t>(inkl. Strom und Wärme, Ausbaugröße ABA 200.000 EW)</t>
  </si>
  <si>
    <t>€</t>
  </si>
  <si>
    <t>Anteil</t>
  </si>
  <si>
    <t>SW-Kanal</t>
    <phoneticPr fontId="39" type="noConversion"/>
  </si>
  <si>
    <t>tP/a fest</t>
  </si>
  <si>
    <t>UBA 2007</t>
  </si>
  <si>
    <t>kg/kg N,rec</t>
    <phoneticPr fontId="39" type="noConversion"/>
  </si>
  <si>
    <t>Abwasserbehandlungsanlage</t>
    <phoneticPr fontId="39" type="noConversion"/>
  </si>
  <si>
    <t>Pinnekamp, Johannes (Hrsg.) (2008):Bewertung zentraler und dezentraler Abwasserinfrastruktursysteme. Band ?. Aachen.</t>
    <phoneticPr fontId="21" type="noConversion"/>
  </si>
  <si>
    <t>Geschirrspülen</t>
  </si>
  <si>
    <t>Phosphor</t>
  </si>
  <si>
    <t>Stickstoff</t>
  </si>
  <si>
    <t>spez. CO2-Ausstoß</t>
    <phoneticPr fontId="39" type="noConversion"/>
  </si>
  <si>
    <t>Betriebswassernutzung</t>
    <phoneticPr fontId="0" type="noConversion"/>
  </si>
  <si>
    <t>Müller etal 2009</t>
    <phoneticPr fontId="21" type="noConversion"/>
  </si>
  <si>
    <t>Betriebswassernutzung (Druckerhöhung)</t>
    <phoneticPr fontId="0" type="noConversion"/>
  </si>
  <si>
    <t>Luftstrippung (Schwarzwasser, flüssige Phase)</t>
  </si>
  <si>
    <t>Faulgasproduktion</t>
    <phoneticPr fontId="39" type="noConversion"/>
  </si>
  <si>
    <t>pauschal</t>
  </si>
  <si>
    <t>MAP-Fällung (PRISA)</t>
  </si>
  <si>
    <t>Abflussbeiwert [-]</t>
  </si>
  <si>
    <t>kg P/(EW*a)</t>
  </si>
  <si>
    <t>nur P-Elimination, keine Rückgewinnung</t>
  </si>
  <si>
    <t>KWB 2007</t>
    <phoneticPr fontId="39" type="noConversion"/>
  </si>
  <si>
    <t>mg CSB/L im Zulauf</t>
    <phoneticPr fontId="39" type="noConversion"/>
  </si>
  <si>
    <t>Wirkungsgrad</t>
    <phoneticPr fontId="39" type="noConversion"/>
  </si>
  <si>
    <t>Anteil P-Fracht Fällung</t>
  </si>
  <si>
    <t>Einsatzstoffe</t>
  </si>
  <si>
    <t>Grauwasser</t>
  </si>
  <si>
    <t>t MgO/a</t>
  </si>
  <si>
    <t>DWA - Deutsche Vereinigung für Wasserwirtschaft, Abwasser und Abfall e.V. (Hrsg.) (2005): Rückbelastung aus der Schlammbehandlung – Verfahren zur Schlammwasserbehandlung, Arbeitsbericht der Arbeitsgruppe AK-1.3. Hennef.</t>
  </si>
  <si>
    <t xml:space="preserve">Anteil Fixkosten Status-quo </t>
    <phoneticPr fontId="39" type="noConversion"/>
  </si>
  <si>
    <t xml:space="preserve">Anteil Kanalbestand
</t>
    <phoneticPr fontId="39" type="noConversion"/>
  </si>
  <si>
    <t xml:space="preserve">Anteil Ableitung
</t>
    <phoneticPr fontId="39" type="noConversion"/>
  </si>
  <si>
    <t>Anteil Variable Kosten Referenz</t>
    <phoneticPr fontId="39" type="noConversion"/>
  </si>
  <si>
    <t>€/(EW*a)</t>
  </si>
  <si>
    <t>€/(EW*a)</t>
    <phoneticPr fontId="39" type="noConversion"/>
  </si>
  <si>
    <t>m³/(EW*a)</t>
    <phoneticPr fontId="39" type="noConversion"/>
  </si>
  <si>
    <t xml:space="preserve"> Anteil Ableitung
</t>
    <phoneticPr fontId="39" type="noConversion"/>
  </si>
  <si>
    <t>Sensitivitätsanalyse</t>
    <phoneticPr fontId="39" type="noConversion"/>
  </si>
  <si>
    <t>Fixkosten;
vorh. Behandlung</t>
    <phoneticPr fontId="39" type="noConversion"/>
  </si>
  <si>
    <t>20 % Mischwasserkanal gehen über in Sparte Regenwasserentsorgung; 20 % Schmutzwasserkanal Neubau; keine Anpassung Netzte und Anlagen an Bedarf</t>
  </si>
  <si>
    <t>Formelsammlung Kostenbilanzen</t>
    <phoneticPr fontId="39" type="noConversion"/>
  </si>
  <si>
    <t>KWB 2007</t>
  </si>
  <si>
    <t>spez. Wärmekapazität</t>
  </si>
  <si>
    <r>
      <t>N-Fällmittelbedarf (H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SO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</t>
    </r>
    <phoneticPr fontId="0" type="noConversion"/>
  </si>
  <si>
    <t>Kosten Schwarzwasser-entsorgung</t>
    <phoneticPr fontId="39" type="noConversion"/>
  </si>
  <si>
    <t>Erlöse;
Stoffe und Energie</t>
    <phoneticPr fontId="39" type="noConversion"/>
  </si>
  <si>
    <t>Kosten Schlammwasser-behandlung</t>
    <phoneticPr fontId="39" type="noConversion"/>
  </si>
  <si>
    <t>Trinkwassermenge Status-quo</t>
    <phoneticPr fontId="39" type="noConversion"/>
  </si>
  <si>
    <t>Trinkwassermenge Status-quo</t>
    <phoneticPr fontId="39" type="noConversion"/>
  </si>
  <si>
    <t>Anteil Fixkosten Referenz</t>
    <phoneticPr fontId="39" type="noConversion"/>
  </si>
  <si>
    <t>Abwasserentsorgung</t>
  </si>
  <si>
    <t>Transformation:</t>
    <phoneticPr fontId="39" type="noConversion"/>
  </si>
  <si>
    <t>fbr 2005</t>
  </si>
  <si>
    <t>RW-Einleitung</t>
    <phoneticPr fontId="39" type="noConversion"/>
  </si>
  <si>
    <t>MW-Kanal</t>
    <phoneticPr fontId="39" type="noConversion"/>
  </si>
  <si>
    <t>ABA</t>
    <phoneticPr fontId="39" type="noConversion"/>
  </si>
  <si>
    <t>Schwarzwasserentsorgung</t>
    <phoneticPr fontId="0" type="noConversion"/>
  </si>
  <si>
    <t>Trinkwasserversorgung</t>
    <phoneticPr fontId="0" type="noConversion"/>
  </si>
  <si>
    <t>Fällmitteleinsatz MgO</t>
    <phoneticPr fontId="0" type="noConversion"/>
  </si>
  <si>
    <t>P-Konzentration</t>
  </si>
  <si>
    <t>Grauwasserentsorgung</t>
    <phoneticPr fontId="0" type="noConversion"/>
  </si>
  <si>
    <t>Abwasserentsorgung</t>
    <phoneticPr fontId="0" type="noConversion"/>
  </si>
  <si>
    <t>m3/(E*d) (ohne Bioabfall)</t>
    <phoneticPr fontId="39" type="noConversion"/>
  </si>
  <si>
    <t>kWh/m3 Schwarzwasser</t>
    <phoneticPr fontId="39" type="noConversion"/>
  </si>
  <si>
    <t>Zeitumrechnung</t>
  </si>
  <si>
    <t>Gartenbewässerung</t>
  </si>
  <si>
    <t>keine Fällung und keine externe Kohlenstoffquelle notwendig</t>
    <phoneticPr fontId="39" type="noConversion"/>
  </si>
  <si>
    <t>Mittelwert aus DWA 2005</t>
    <phoneticPr fontId="39" type="noConversion"/>
  </si>
  <si>
    <t>Klärschlammentwässerung</t>
    <phoneticPr fontId="39" type="noConversion"/>
  </si>
  <si>
    <t>% Mg/MgO</t>
    <phoneticPr fontId="39" type="noConversion"/>
  </si>
  <si>
    <t>40 % vorh. Schmutzwasserkanal wird Grauwasserkanal; in 60 % vorhandenen Mischwasserkanal (jetzt Regenwasser) wird neuer Grauwasserkanal eingezogen; Anpassung vorh. Kanäle an Bedarf</t>
  </si>
  <si>
    <t>Variable Kosten; vorh. Ableitung</t>
  </si>
  <si>
    <t>Variable Kosten;  Neubau Ableitung</t>
  </si>
  <si>
    <t>Transfor-
mation*</t>
    <phoneticPr fontId="0" type="noConversion"/>
  </si>
  <si>
    <r>
      <t>(t/1.000 m</t>
    </r>
    <r>
      <rPr>
        <b/>
        <vertAlign val="superscript"/>
        <sz val="11"/>
        <color indexed="8"/>
        <rFont val="Arial"/>
        <family val="2"/>
      </rPr>
      <t>3</t>
    </r>
    <r>
      <rPr>
        <b/>
        <sz val="11"/>
        <color indexed="8"/>
        <rFont val="Arial"/>
        <family val="2"/>
      </rPr>
      <t>)</t>
    </r>
    <phoneticPr fontId="39" type="noConversion"/>
  </si>
  <si>
    <t xml:space="preserve">Spezifische Stoff-Kennwerte
</t>
    <phoneticPr fontId="39" type="noConversion"/>
  </si>
  <si>
    <t>Anteil Fixkosten Status-quo</t>
    <phoneticPr fontId="39" type="noConversion"/>
  </si>
  <si>
    <t>Anteil Bestand Schmutzwasserkanal</t>
    <phoneticPr fontId="39" type="noConversion"/>
  </si>
  <si>
    <t>Anteil Variable Kosten Status-quo</t>
    <phoneticPr fontId="39" type="noConversion"/>
  </si>
  <si>
    <t xml:space="preserve"> (Mio. €/a)</t>
  </si>
  <si>
    <t>Kostenbilanz 
(inkl. Erlöse)</t>
    <phoneticPr fontId="26" type="noConversion"/>
  </si>
  <si>
    <t>Spezifische Kosten
(Gebühren!)</t>
    <phoneticPr fontId="26" type="noConversion"/>
  </si>
  <si>
    <t xml:space="preserve"> (€/m³)</t>
  </si>
  <si>
    <t xml:space="preserve">Erlöse 
</t>
    <phoneticPr fontId="26" type="noConversion"/>
  </si>
  <si>
    <t>(Mio. €/a)</t>
    <phoneticPr fontId="26" type="noConversion"/>
  </si>
  <si>
    <t>Referenz</t>
    <phoneticPr fontId="39" type="noConversion"/>
  </si>
  <si>
    <t>Transformation</t>
    <phoneticPr fontId="39" type="noConversion"/>
  </si>
  <si>
    <t>Referenz</t>
    <phoneticPr fontId="39" type="noConversion"/>
  </si>
  <si>
    <t>-</t>
    <phoneticPr fontId="39" type="noConversion"/>
  </si>
  <si>
    <t>siehe Annahmen</t>
    <phoneticPr fontId="39" type="noConversion"/>
  </si>
  <si>
    <t>Eckdaten; nur Systemänderung</t>
    <phoneticPr fontId="39" type="noConversion"/>
  </si>
  <si>
    <t>€/E Invest</t>
  </si>
  <si>
    <t>BK-Wasser 2007</t>
    <phoneticPr fontId="39" type="noConversion"/>
  </si>
  <si>
    <t>N-Rückgewinnung</t>
    <phoneticPr fontId="0" type="noConversion"/>
  </si>
  <si>
    <t xml:space="preserve">* Änderung der Gesamtkostenstruktur zwischen den Szenarien Referenz und Transformation &gt; 10% gegenüber Status-quo, bei einer Erhöhung/Verringerung der spezifischen Kosten um 50% </t>
    <phoneticPr fontId="39" type="noConversion"/>
  </si>
  <si>
    <t>ja</t>
    <phoneticPr fontId="39" type="noConversion"/>
  </si>
  <si>
    <t>Kostenbilanz 
(inkl. Erlöse)</t>
  </si>
  <si>
    <t>Status-
quo</t>
  </si>
  <si>
    <t>Refe-
renz</t>
  </si>
  <si>
    <t>Transfor-
mation</t>
  </si>
  <si>
    <t>Refe-
renz*</t>
  </si>
  <si>
    <t>Betriebswasser-menge Transforma-tion*</t>
    <phoneticPr fontId="39" type="noConversion"/>
  </si>
  <si>
    <t xml:space="preserve">Referenz 
</t>
    <phoneticPr fontId="39" type="noConversion"/>
  </si>
  <si>
    <t>Regenwasserentsorgung (inklusive Mischwasserbehandlung bei Referenz und Referenz*)</t>
    <phoneticPr fontId="39" type="noConversion"/>
  </si>
  <si>
    <t>weitergehende Mischwasserbehandlung</t>
    <phoneticPr fontId="0" type="noConversion"/>
  </si>
  <si>
    <t>Wäschewaschen</t>
  </si>
  <si>
    <t>t H2SO4/1000 m³</t>
  </si>
  <si>
    <t>Wirkungsgrad BHKW</t>
    <phoneticPr fontId="39" type="noConversion"/>
  </si>
  <si>
    <t>Q-spez. Energieertrag (BHKW)</t>
    <phoneticPr fontId="39" type="noConversion"/>
  </si>
  <si>
    <t>kWh/m3</t>
    <phoneticPr fontId="39" type="noConversion"/>
  </si>
  <si>
    <t>kWh/m3</t>
    <phoneticPr fontId="39" type="noConversion"/>
  </si>
  <si>
    <t>(inkl. Strom und Wärme, Bezug Ausbaugröße ABA 200.000 EW)</t>
  </si>
  <si>
    <t>Pawlowski 2009</t>
  </si>
  <si>
    <t>Einwohnergleichwert AP [-]</t>
    <phoneticPr fontId="39" type="noConversion"/>
  </si>
  <si>
    <t>Kosten für P- und N-Elimination sind in pauschaler Abwassergebühr enthalten (siehe Tabellenblatt "Kosten")</t>
  </si>
  <si>
    <t>- (Bio-P 10% bleibt unberücksichtigt)</t>
    <phoneticPr fontId="39" type="noConversion"/>
  </si>
  <si>
    <t>t MgO/1000 m³</t>
  </si>
  <si>
    <t xml:space="preserve">Schlammwasser-menge Referenz*
</t>
    <phoneticPr fontId="39" type="noConversion"/>
  </si>
  <si>
    <t xml:space="preserve">Schlammwasser-menge Referenz
</t>
    <phoneticPr fontId="39" type="noConversion"/>
  </si>
  <si>
    <t xml:space="preserve">Transformation*
</t>
    <phoneticPr fontId="39" type="noConversion"/>
  </si>
  <si>
    <t xml:space="preserve">Grauwassermenge Transformation*
</t>
    <phoneticPr fontId="39" type="noConversion"/>
  </si>
  <si>
    <t>Grauwassermenge Transformation*</t>
    <phoneticPr fontId="39" type="noConversion"/>
  </si>
  <si>
    <t>Grauwassermenge Transformation*</t>
    <phoneticPr fontId="39" type="noConversion"/>
  </si>
  <si>
    <t xml:space="preserve">Abwassermenge Status-quo
</t>
    <phoneticPr fontId="39" type="noConversion"/>
  </si>
  <si>
    <t>Abwassermenge Status-quo</t>
    <phoneticPr fontId="39" type="noConversion"/>
  </si>
  <si>
    <t>Anteil Behandlung</t>
    <phoneticPr fontId="39" type="noConversion"/>
  </si>
  <si>
    <t>Anteil Variable Kosten Status-quo</t>
    <phoneticPr fontId="39" type="noConversion"/>
  </si>
  <si>
    <t xml:space="preserve">Anteil Ableitung
</t>
    <phoneticPr fontId="39" type="noConversion"/>
  </si>
  <si>
    <t xml:space="preserve">*
</t>
    <phoneticPr fontId="39" type="noConversion"/>
  </si>
  <si>
    <t>Schwarzwasser-menge Transforma-tion</t>
    <phoneticPr fontId="39" type="noConversion"/>
  </si>
  <si>
    <t>Transformation*</t>
    <phoneticPr fontId="39" type="noConversion"/>
  </si>
  <si>
    <t>Schwarzwasser-menge Transforma-tion*</t>
    <phoneticPr fontId="39" type="noConversion"/>
  </si>
  <si>
    <t xml:space="preserve">+
</t>
    <phoneticPr fontId="39" type="noConversion"/>
  </si>
  <si>
    <t>und das Dissoziationsgleichgewicht zugunsten Ammoniak über Temperatur gewährleistet wird.</t>
  </si>
  <si>
    <t>Abwärmenutzung</t>
    <phoneticPr fontId="39" type="noConversion"/>
  </si>
  <si>
    <t>Kostengruppen</t>
    <phoneticPr fontId="39" type="noConversion"/>
  </si>
  <si>
    <t>Betriebswassernutzung
(behand. Grau-/Regenwasser)</t>
  </si>
  <si>
    <t>nein</t>
    <phoneticPr fontId="39" type="noConversion"/>
  </si>
  <si>
    <t>ja</t>
    <phoneticPr fontId="39" type="noConversion"/>
  </si>
  <si>
    <t>nein</t>
    <phoneticPr fontId="39" type="noConversion"/>
  </si>
  <si>
    <t>Abwärme (Abwasser, Grauwasser)</t>
    <phoneticPr fontId="0" type="noConversion"/>
  </si>
  <si>
    <r>
      <t>(Mio. m</t>
    </r>
    <r>
      <rPr>
        <b/>
        <vertAlign val="superscript"/>
        <sz val="11"/>
        <color indexed="8"/>
        <rFont val="Arial"/>
        <family val="2"/>
      </rPr>
      <t>3</t>
    </r>
    <r>
      <rPr>
        <b/>
        <sz val="11"/>
        <color indexed="8"/>
        <rFont val="Arial"/>
        <family val="2"/>
      </rPr>
      <t>/a)</t>
    </r>
    <phoneticPr fontId="0" type="noConversion"/>
  </si>
  <si>
    <r>
      <t xml:space="preserve">Wasserbilanz
</t>
    </r>
    <r>
      <rPr>
        <sz val="11"/>
        <color indexed="8"/>
        <rFont val="Arial"/>
        <family val="2"/>
      </rPr>
      <t/>
    </r>
    <phoneticPr fontId="0" type="noConversion"/>
  </si>
  <si>
    <t>Transfor-
mation</t>
    <phoneticPr fontId="0" type="noConversion"/>
  </si>
  <si>
    <t xml:space="preserve">Stoffbilanz
</t>
    <phoneticPr fontId="0" type="noConversion"/>
  </si>
  <si>
    <t>(t/a)</t>
  </si>
  <si>
    <t>(MWh/a)</t>
  </si>
  <si>
    <t xml:space="preserve">Energiebilanz
</t>
    <phoneticPr fontId="0" type="noConversion"/>
  </si>
  <si>
    <t>Regen- und Mischwassermenge Referenz*</t>
    <phoneticPr fontId="39" type="noConversion"/>
  </si>
  <si>
    <t>Regen- und Mischwasssermenge Referenz*</t>
    <phoneticPr fontId="39" type="noConversion"/>
  </si>
  <si>
    <t>Szenario zur Fortschreibung bzw. Optimierung/Weiterentwicklung des Wasserinfrastrukutrsystms im Status-quo</t>
    <phoneticPr fontId="39" type="noConversion"/>
  </si>
  <si>
    <t xml:space="preserve">kgP/EW/a </t>
  </si>
  <si>
    <t xml:space="preserve">g Mg/g P (1,5 fache Überdosierung) </t>
    <phoneticPr fontId="39" type="noConversion"/>
  </si>
  <si>
    <t>kg P/(E*a)</t>
  </si>
  <si>
    <t>Wendland 2008</t>
    <phoneticPr fontId="39" type="noConversion"/>
  </si>
  <si>
    <t>Kochen; Trinken</t>
  </si>
  <si>
    <t>Sonstige Nutzungen</t>
  </si>
  <si>
    <t>Abwasserentsorgung</t>
    <phoneticPr fontId="26" type="noConversion"/>
  </si>
  <si>
    <t>KompetenzZentrum Wasser Berlin gGmbH (Hrsg.) (2007): Sanitation Concepts for Separate Treatment of Urine, Faeces and Greywater (SCST) - Results. Berlin.</t>
  </si>
  <si>
    <t>P-Fällung</t>
    <phoneticPr fontId="39" type="noConversion"/>
  </si>
  <si>
    <t>t FeClSO4/1000 m³</t>
    <phoneticPr fontId="39" type="noConversion"/>
  </si>
  <si>
    <t>%ige FeClSO4-Lösung</t>
    <phoneticPr fontId="39" type="noConversion"/>
  </si>
  <si>
    <t>Nutzungsarten</t>
  </si>
  <si>
    <t>(Bogensieb, Strippung)</t>
  </si>
  <si>
    <t>EW</t>
    <phoneticPr fontId="39" type="noConversion"/>
  </si>
  <si>
    <t>Annahmen</t>
    <phoneticPr fontId="39" type="noConversion"/>
  </si>
  <si>
    <t>Gesamtprojektkosten</t>
  </si>
  <si>
    <t>Merkmal</t>
    <phoneticPr fontId="39" type="noConversion"/>
  </si>
  <si>
    <t>Kosten</t>
    <phoneticPr fontId="39" type="noConversion"/>
  </si>
  <si>
    <t>weitergehende Regenwasserbehandlung</t>
    <phoneticPr fontId="0" type="noConversion"/>
  </si>
  <si>
    <t>g MgO/g P</t>
  </si>
  <si>
    <t>Volumenströme</t>
  </si>
  <si>
    <t>[m³/
AP/a]</t>
    <phoneticPr fontId="39" type="noConversion"/>
  </si>
  <si>
    <t>Fremdwasser [m³/ha/a]:</t>
    <phoneticPr fontId="39" type="noConversion"/>
  </si>
  <si>
    <t>[m³/
E/a]</t>
    <phoneticPr fontId="39" type="noConversion"/>
  </si>
  <si>
    <t xml:space="preserve">Kosten Abwasser-entsorgung
</t>
    <phoneticPr fontId="39" type="noConversion"/>
  </si>
  <si>
    <t xml:space="preserve">Die Gewinnung von Magnesium-Ammonium-Phosphat (MAP) und Ammonium-Sulfat-Lösung (ASL) ist in beiden Szenarien unter der Vorraussetzung konzipiert, </t>
    <phoneticPr fontId="0" type="noConversion"/>
  </si>
  <si>
    <r>
      <t xml:space="preserve">Spezifische Energie-Kennwerte
</t>
    </r>
    <r>
      <rPr>
        <sz val="11"/>
        <color indexed="8"/>
        <rFont val="Arial"/>
        <family val="2"/>
      </rPr>
      <t/>
    </r>
    <phoneticPr fontId="39" type="noConversion"/>
  </si>
  <si>
    <r>
      <t>(kWh/m</t>
    </r>
    <r>
      <rPr>
        <b/>
        <vertAlign val="superscript"/>
        <sz val="11"/>
        <color indexed="8"/>
        <rFont val="Arial"/>
        <family val="2"/>
      </rPr>
      <t>3</t>
    </r>
    <r>
      <rPr>
        <b/>
        <sz val="11"/>
        <color indexed="8"/>
        <rFont val="Arial"/>
        <family val="2"/>
      </rPr>
      <t>)</t>
    </r>
    <phoneticPr fontId="39" type="noConversion"/>
  </si>
  <si>
    <t>worst-case</t>
    <phoneticPr fontId="39" type="noConversion"/>
  </si>
  <si>
    <t>best-case</t>
    <phoneticPr fontId="39" type="noConversion"/>
  </si>
  <si>
    <t>Fixkosten;
vorh. Ableitung</t>
    <phoneticPr fontId="39" type="noConversion"/>
  </si>
  <si>
    <t>Abwassermenge Status-quo</t>
    <phoneticPr fontId="39" type="noConversion"/>
  </si>
  <si>
    <t xml:space="preserve">Anteil Ableitung
</t>
    <phoneticPr fontId="39" type="noConversion"/>
  </si>
  <si>
    <t xml:space="preserve">Anteil Fixkosten Referenz </t>
    <phoneticPr fontId="39" type="noConversion"/>
  </si>
  <si>
    <t xml:space="preserve">Anteil Kanalbestand
</t>
    <phoneticPr fontId="39" type="noConversion"/>
  </si>
  <si>
    <t>Fixkosten;
vorh. Behandlung</t>
    <phoneticPr fontId="39" type="noConversion"/>
  </si>
  <si>
    <t xml:space="preserve">Anteil Ableitung
</t>
    <phoneticPr fontId="39" type="noConversion"/>
  </si>
  <si>
    <t>Anteil Fixkosten Transformation</t>
    <phoneticPr fontId="39" type="noConversion"/>
  </si>
  <si>
    <t xml:space="preserve">Anteil Neubau
</t>
    <phoneticPr fontId="39" type="noConversion"/>
  </si>
  <si>
    <t>Referenz*</t>
    <phoneticPr fontId="39" type="noConversion"/>
  </si>
  <si>
    <t>Transformation</t>
    <phoneticPr fontId="39" type="noConversion"/>
  </si>
  <si>
    <t>Transformation*</t>
    <phoneticPr fontId="39" type="noConversion"/>
  </si>
  <si>
    <t xml:space="preserve">Transformation*
</t>
    <phoneticPr fontId="39" type="noConversion"/>
  </si>
  <si>
    <t xml:space="preserve">Regenwassermenge Transformation*
</t>
    <phoneticPr fontId="39" type="noConversion"/>
  </si>
  <si>
    <t xml:space="preserve">Transformation
</t>
    <phoneticPr fontId="39" type="noConversion"/>
  </si>
  <si>
    <t xml:space="preserve">Grauwassermenge Transformation
</t>
    <phoneticPr fontId="39" type="noConversion"/>
  </si>
  <si>
    <t>Regen- und Mischwassermenge Referenz</t>
    <phoneticPr fontId="39" type="noConversion"/>
  </si>
  <si>
    <t>Regen- und Mischwasssermenge Referenz</t>
    <phoneticPr fontId="39" type="noConversion"/>
  </si>
  <si>
    <t xml:space="preserve">Regenwassermenge Referenz
</t>
    <phoneticPr fontId="39" type="noConversion"/>
  </si>
  <si>
    <t xml:space="preserve">Referenz*
</t>
    <phoneticPr fontId="39" type="noConversion"/>
  </si>
  <si>
    <t xml:space="preserve">Anteil vorhandener Bestand
</t>
    <phoneticPr fontId="39" type="noConversion"/>
  </si>
  <si>
    <t xml:space="preserve">Abwassermenge Status-quo
 </t>
    <phoneticPr fontId="39" type="noConversion"/>
  </si>
  <si>
    <t xml:space="preserve">Anteil Ableitung
</t>
    <phoneticPr fontId="39" type="noConversion"/>
  </si>
  <si>
    <t>Referenz 2080</t>
    <phoneticPr fontId="39" type="noConversion"/>
  </si>
  <si>
    <t>Transformation 2080</t>
    <phoneticPr fontId="39" type="noConversion"/>
  </si>
  <si>
    <t>Gesamtkosten Neubau weitergeh. Behandlung</t>
  </si>
  <si>
    <t>UBA 2008</t>
    <phoneticPr fontId="39" type="noConversion"/>
  </si>
  <si>
    <t>Summe elektrisch</t>
    <phoneticPr fontId="0" type="noConversion"/>
  </si>
  <si>
    <t>weitergehende Mischwasserbehandlung</t>
    <phoneticPr fontId="39" type="noConversion"/>
  </si>
  <si>
    <t>Schwarzwasser</t>
    <phoneticPr fontId="39" type="noConversion"/>
  </si>
  <si>
    <t>Betriebswassernutzung (Druckerhöhung)</t>
    <phoneticPr fontId="0" type="noConversion"/>
  </si>
  <si>
    <t>P Rückgewinnung (Anteil P aus Fäzes und Urin; kein P im Grauwasser)</t>
  </si>
  <si>
    <t xml:space="preserve">Anteil Variable Kosten Status-quo
</t>
    <phoneticPr fontId="39" type="noConversion"/>
  </si>
  <si>
    <t xml:space="preserve"> Anteil Umnutzung Mischwasserkanal
</t>
    <phoneticPr fontId="39" type="noConversion"/>
  </si>
  <si>
    <t xml:space="preserve">Anteil Ableitung
</t>
    <phoneticPr fontId="39" type="noConversion"/>
  </si>
  <si>
    <t xml:space="preserve">Anteil Variable Kosten Status-quo
</t>
    <phoneticPr fontId="39" type="noConversion"/>
  </si>
  <si>
    <t xml:space="preserve">Anteil Umnutzung Mischwasserkanal
</t>
    <phoneticPr fontId="39" type="noConversion"/>
  </si>
  <si>
    <t xml:space="preserve">Anteil Neubau
</t>
    <phoneticPr fontId="39" type="noConversion"/>
  </si>
  <si>
    <t>Kosten Abwasser-entsorgung</t>
    <phoneticPr fontId="39" type="noConversion"/>
  </si>
  <si>
    <t>Kosten Abwasser-entsorgung</t>
    <phoneticPr fontId="39" type="noConversion"/>
  </si>
  <si>
    <t xml:space="preserve">Anteil Ableitung
</t>
    <phoneticPr fontId="39" type="noConversion"/>
  </si>
  <si>
    <t xml:space="preserve">Grauwassermenge Transformation
 </t>
    <phoneticPr fontId="39" type="noConversion"/>
  </si>
  <si>
    <t>Grauwassermenge Transformation</t>
    <phoneticPr fontId="39" type="noConversion"/>
  </si>
  <si>
    <t>Grauwassermenge Transformation (ohne Fremdwasser)</t>
    <phoneticPr fontId="39" type="noConversion"/>
  </si>
  <si>
    <t>Transfor-
mation*</t>
  </si>
  <si>
    <t>Regenwasserentsorgung</t>
  </si>
  <si>
    <t>Schwarzwasserentsorgung</t>
  </si>
  <si>
    <t xml:space="preserve">Summe </t>
  </si>
  <si>
    <t>Betriebswassernutzung</t>
    <phoneticPr fontId="39" type="noConversion"/>
  </si>
  <si>
    <t>+ 50%</t>
    <phoneticPr fontId="39" type="noConversion"/>
  </si>
  <si>
    <t>- 50%</t>
    <phoneticPr fontId="39" type="noConversion"/>
  </si>
  <si>
    <t>Grauwasserentsorgung</t>
    <phoneticPr fontId="39" type="noConversion"/>
  </si>
  <si>
    <t>Schwarzwasserentsorgung</t>
    <phoneticPr fontId="39" type="noConversion"/>
  </si>
  <si>
    <t>Abwärmenutzung</t>
    <phoneticPr fontId="39" type="noConversion"/>
  </si>
  <si>
    <t>ja</t>
    <phoneticPr fontId="39" type="noConversion"/>
  </si>
  <si>
    <t>nein</t>
    <phoneticPr fontId="39" type="noConversion"/>
  </si>
  <si>
    <t>nein</t>
    <phoneticPr fontId="39" type="noConversion"/>
  </si>
  <si>
    <t>hohe
Unsicherheit</t>
    <phoneticPr fontId="39" type="noConversion"/>
  </si>
  <si>
    <t>hohe
Relevanz*</t>
    <phoneticPr fontId="39" type="noConversion"/>
  </si>
  <si>
    <t>Betriebswassernutzung</t>
    <phoneticPr fontId="26" type="noConversion"/>
  </si>
  <si>
    <t xml:space="preserve">Abwassermenge Referenz*
</t>
    <phoneticPr fontId="39" type="noConversion"/>
  </si>
  <si>
    <t xml:space="preserve">Anteil Umnutzung Mischwasserkanal
</t>
    <phoneticPr fontId="39" type="noConversion"/>
  </si>
  <si>
    <t>Kosten 
Abwasser-entsorgung</t>
    <phoneticPr fontId="39" type="noConversion"/>
  </si>
  <si>
    <t>Kosten
Abwasser-entsorgung</t>
    <phoneticPr fontId="39" type="noConversion"/>
  </si>
  <si>
    <t>* keine Änderung der Demografie; keine Anpassung der Netze und Anlagen an veränderten Bedarf</t>
    <phoneticPr fontId="26" type="noConversion"/>
  </si>
  <si>
    <t>Schlammwässer</t>
    <phoneticPr fontId="39" type="noConversion"/>
  </si>
  <si>
    <t>-</t>
    <phoneticPr fontId="39" type="noConversion"/>
  </si>
  <si>
    <t>Kosten Regenwasser-entsorgung</t>
    <phoneticPr fontId="39" type="noConversion"/>
  </si>
  <si>
    <t xml:space="preserve">Regenwassermenge Referenz*
</t>
    <phoneticPr fontId="39" type="noConversion"/>
  </si>
  <si>
    <t xml:space="preserve">Mischwassermenge Referenz*
</t>
    <phoneticPr fontId="39" type="noConversion"/>
  </si>
  <si>
    <t xml:space="preserve">Transformation
</t>
    <phoneticPr fontId="39" type="noConversion"/>
  </si>
  <si>
    <t xml:space="preserve">Regenwassermenge Transformation
</t>
    <phoneticPr fontId="39" type="noConversion"/>
  </si>
  <si>
    <t xml:space="preserve">Regenwassermenge Transformation
</t>
    <phoneticPr fontId="39" type="noConversion"/>
  </si>
  <si>
    <t>Anteil Ableitung</t>
    <phoneticPr fontId="39" type="noConversion"/>
  </si>
  <si>
    <t>Anteil Behandlung</t>
    <phoneticPr fontId="39" type="noConversion"/>
  </si>
  <si>
    <t>%</t>
    <phoneticPr fontId="39" type="noConversion"/>
  </si>
  <si>
    <t>%</t>
    <phoneticPr fontId="39" type="noConversion"/>
  </si>
  <si>
    <t>20 % Mischwasserkanal gehen über in Sparte Regenwasserentsorgung; 20 % Schmutzwasserkanal Neubau; Anpassung Netzte und Anlagen an Bedarf</t>
  </si>
  <si>
    <t>DWA 2008</t>
  </si>
  <si>
    <t>P-Gewinnung</t>
  </si>
  <si>
    <t>RW-Kanal</t>
    <phoneticPr fontId="39" type="noConversion"/>
  </si>
  <si>
    <t>DWA 2005</t>
  </si>
  <si>
    <t xml:space="preserve">Fixkosten;
vorh. Ableitung 
</t>
    <phoneticPr fontId="39" type="noConversion"/>
  </si>
  <si>
    <t xml:space="preserve">Variable Kosten; vorh. Ableitung
</t>
    <phoneticPr fontId="39" type="noConversion"/>
  </si>
  <si>
    <t xml:space="preserve">Anteil Variable Kosten Transformation 
</t>
    <phoneticPr fontId="39" type="noConversion"/>
  </si>
  <si>
    <t xml:space="preserve">Anteil Ableitung
</t>
    <phoneticPr fontId="39" type="noConversion"/>
  </si>
  <si>
    <t>Anteil Variable Kosten Transformation</t>
    <phoneticPr fontId="39" type="noConversion"/>
  </si>
  <si>
    <t>worst-case</t>
    <phoneticPr fontId="39" type="noConversion"/>
  </si>
  <si>
    <t>best-case</t>
    <phoneticPr fontId="39" type="noConversion"/>
  </si>
  <si>
    <t>Referenz</t>
    <phoneticPr fontId="39" type="noConversion"/>
  </si>
  <si>
    <t>Referenz *</t>
    <phoneticPr fontId="39" type="noConversion"/>
  </si>
  <si>
    <t xml:space="preserve">der Klärschlammentwässerung (Kalkkonditionierung) erfolgt und andererseits bei Transformation das Schwarzwasser im pH-Bereich von ≥ 9 vorliegt </t>
    <phoneticPr fontId="0" type="noConversion"/>
  </si>
  <si>
    <t>Größere Menge; keine Anpassung vorh. Netze und Anlagen an Bedarf; 60 % mehr Regenwasserkanal (ehemals Mischwasserkanal); neue weitergehende Behandlung</t>
  </si>
  <si>
    <t>Status quo</t>
    <phoneticPr fontId="39" type="noConversion"/>
  </si>
  <si>
    <t xml:space="preserve">kWh/(E*a) </t>
  </si>
  <si>
    <t>€/(E*a)</t>
  </si>
  <si>
    <t>Einheit</t>
    <phoneticPr fontId="39" type="noConversion"/>
  </si>
  <si>
    <t>%</t>
    <phoneticPr fontId="39" type="noConversion"/>
  </si>
  <si>
    <t>Regenwasserbehandlung</t>
  </si>
  <si>
    <t>Q-spez. Fällmittelbedarf</t>
    <phoneticPr fontId="39" type="noConversion"/>
  </si>
  <si>
    <t>Anteil Variable Kosten Status-quo</t>
    <phoneticPr fontId="39" type="noConversion"/>
  </si>
  <si>
    <t xml:space="preserve">Anteil Kanalbestand
</t>
    <phoneticPr fontId="39" type="noConversion"/>
  </si>
  <si>
    <t>Betriebswassernutzung</t>
    <phoneticPr fontId="39" type="noConversion"/>
  </si>
  <si>
    <t xml:space="preserve">Abwassermenge Status-quo </t>
    <phoneticPr fontId="39" type="noConversion"/>
  </si>
  <si>
    <t xml:space="preserve"> Anteil Behandlung
</t>
    <phoneticPr fontId="39" type="noConversion"/>
  </si>
  <si>
    <t>Anteil Fixkosten Referenz</t>
    <phoneticPr fontId="39" type="noConversion"/>
  </si>
  <si>
    <t>Anteil Variable Kosten Referenz</t>
    <phoneticPr fontId="39" type="noConversion"/>
  </si>
  <si>
    <t xml:space="preserve">Anteil vorhandener Bestand
</t>
    <phoneticPr fontId="39" type="noConversion"/>
  </si>
  <si>
    <t xml:space="preserve">Anteil Variable Kosten Status-quo
</t>
    <phoneticPr fontId="39" type="noConversion"/>
  </si>
  <si>
    <t>Abwassermenge Status-quo</t>
    <phoneticPr fontId="39" type="noConversion"/>
  </si>
  <si>
    <t>[m³/(E+
AP)/a]</t>
    <phoneticPr fontId="39" type="noConversion"/>
  </si>
  <si>
    <t xml:space="preserve">Mischwassermenge Referenz
</t>
    <phoneticPr fontId="39" type="noConversion"/>
  </si>
  <si>
    <t xml:space="preserve">*
</t>
    <phoneticPr fontId="39" type="noConversion"/>
  </si>
  <si>
    <t>Variable Kosten; vorh. Behandlung</t>
  </si>
  <si>
    <t>Gesamtkosten; Neubau Ableitung</t>
  </si>
  <si>
    <t xml:space="preserve">dass keine Natronlauge (NaOH) zur pH-Wert Einstellung notwendig ist, weil einerseits bei Referenz eine pH-Wert Anhebung im Zuge </t>
    <phoneticPr fontId="0" type="noConversion"/>
  </si>
  <si>
    <t>Refe-
renz*</t>
    <phoneticPr fontId="0" type="noConversion"/>
  </si>
  <si>
    <t>Status-
quo</t>
    <phoneticPr fontId="0" type="noConversion"/>
  </si>
  <si>
    <t>Refe-
renz</t>
    <phoneticPr fontId="0" type="noConversion"/>
  </si>
  <si>
    <t>Erlöse Abwärmenutzung</t>
    <phoneticPr fontId="39" type="noConversion"/>
  </si>
  <si>
    <t>Erlöse
Abwärmenutzung</t>
    <phoneticPr fontId="39" type="noConversion"/>
  </si>
  <si>
    <t>Erlöse Energie
Referenz</t>
    <phoneticPr fontId="39" type="noConversion"/>
  </si>
  <si>
    <t>Erlöse Stoffe (ges.)
Transformation*</t>
    <phoneticPr fontId="39" type="noConversion"/>
  </si>
  <si>
    <t>Erlöse Stoffe (ges.)
Transformation</t>
    <phoneticPr fontId="39" type="noConversion"/>
  </si>
  <si>
    <t>Erlöse Energie
Referenz*</t>
    <phoneticPr fontId="39" type="noConversion"/>
  </si>
  <si>
    <t>Erlöse Energie
Tranformation</t>
    <phoneticPr fontId="39" type="noConversion"/>
  </si>
  <si>
    <t>Erlöse Energie
Tranformation*</t>
    <phoneticPr fontId="39" type="noConversion"/>
  </si>
  <si>
    <t>Fällmittelbedarf</t>
  </si>
  <si>
    <t>jährliche P-Fracht</t>
  </si>
  <si>
    <t>Eindicker=5,5; Klärschlamm-entwässerung=0,15; Herbst et al. 2007</t>
  </si>
  <si>
    <t>Gewinnung, Aufbereitung, Verteilung</t>
  </si>
  <si>
    <t>Druckhaltung; Herbst 2008</t>
  </si>
  <si>
    <t>Status-quo: Mittelwert Größenklasse 5; Referenz: Toleranzwert Größenklasse 4+5; UBA 2008</t>
  </si>
  <si>
    <t>Referenz: weitergehende Behandlung</t>
  </si>
  <si>
    <t>weitergehende Behandlung</t>
  </si>
  <si>
    <t>inklusive UV-Desinfektion; Herbst 2008</t>
  </si>
  <si>
    <t>Ableitung Schwarzwasser</t>
  </si>
  <si>
    <t>thermisch; Wendland 2008</t>
  </si>
  <si>
    <t>Mittelwert; DWA 2005</t>
  </si>
  <si>
    <t>Behandlung Schwarzwasser</t>
  </si>
  <si>
    <t>elektrisch; DWA 2008a</t>
  </si>
  <si>
    <t>thermisch; DWA 2008a</t>
  </si>
  <si>
    <t>Referenz: Abwasser; Transformation: Grauwasser</t>
  </si>
  <si>
    <t>Status-quo, Referenz: UBA 2008; Transformation: Wendland 2008</t>
  </si>
  <si>
    <r>
      <t>Status-quo: Eisen-Chlorid-Sulfat (FeClSO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), Referenz+Transformation: Magnesiumoxid (MgO)</t>
    </r>
  </si>
  <si>
    <t>78 %-ige Schwefelsäure; Mittelwert DWA 2005</t>
  </si>
  <si>
    <t>Fäzes; DWA 2008</t>
  </si>
  <si>
    <t>Urin; DWA 2008</t>
  </si>
  <si>
    <t>Grauwasser; DWA 2008</t>
  </si>
  <si>
    <t>Referenz: MAP Kistallisation (Herbst et. al 2007); Transformation: Schwarzwasser (DWA 2008)</t>
  </si>
  <si>
    <t>Referenz: Schlammwässer (DWA 2005); Transformation: Urin (DWA 2008)</t>
  </si>
  <si>
    <t xml:space="preserve">Bemerkungen
</t>
  </si>
  <si>
    <t>Referenz und Transformation: Kostenentwicklung siehe Kostenbilanz</t>
  </si>
  <si>
    <t>Status-quo: BK-Wasser 2007; Referenz/ Transformation: Anpassung Netze/Anlagen</t>
  </si>
  <si>
    <t>Referenz, Transformation: Kostenentwicklung siehe Kostenbilanz</t>
  </si>
  <si>
    <t xml:space="preserve">Status-quo: BK-Wasser 2007 </t>
  </si>
  <si>
    <t>inklusive Mischwasser; Referenz und Trans-formation: Kostenentwicklung siehe Kostenbilanz</t>
  </si>
  <si>
    <t>Speicherung, Druckhaltung, Verteilung</t>
  </si>
  <si>
    <t>Behandlung</t>
  </si>
  <si>
    <t>Nährstoffrückgewinnung (PRISA, N-Luftstrippung)</t>
  </si>
  <si>
    <t>Vakuumableitung, anaerobe und aerobe (Rest-CSB) Behandlung , P-Fällung, N-Luftstrippung</t>
  </si>
  <si>
    <t>bezüglich thermischer und elektrischer Energie, über Betrachtungszeitraum 70 Jahre</t>
  </si>
  <si>
    <t>Magnesium-Ammonium-Phosphat; UBA 2007</t>
  </si>
  <si>
    <t>Ammonium-Sulfat-Lösung</t>
  </si>
  <si>
    <t>thermisch; Mittelwert; DWA 2005</t>
  </si>
  <si>
    <t>Wendland 2008</t>
  </si>
  <si>
    <r>
      <t>Fällmitteleinsatz FeClSO</t>
    </r>
    <r>
      <rPr>
        <vertAlign val="subscript"/>
        <sz val="11"/>
        <rFont val="Arial"/>
        <family val="2"/>
      </rPr>
      <t>4</t>
    </r>
  </si>
  <si>
    <t>Transfor-mation</t>
  </si>
  <si>
    <t>L/(E*d)</t>
  </si>
  <si>
    <t>Vergärung Schwarzwasser (thermisch)</t>
  </si>
  <si>
    <t>Vergärung Schwarzwasser (elektrisch)</t>
  </si>
  <si>
    <t>Ausgabe Öko-Effizienz</t>
  </si>
  <si>
    <t>entfällt
(Stoffstrom-trennung)</t>
  </si>
  <si>
    <r>
      <t>Umrechnungsfaktor auf Mio. m</t>
    </r>
    <r>
      <rPr>
        <vertAlign val="superscript"/>
        <sz val="11"/>
        <color indexed="8"/>
        <rFont val="Calibri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</si>
</sst>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0.000"/>
    <numFmt numFmtId="166" formatCode="#,##0.00_ ;\-#,##0.00\ "/>
    <numFmt numFmtId="167" formatCode="#,##0.0"/>
    <numFmt numFmtId="168" formatCode="#,##0.000"/>
    <numFmt numFmtId="169" formatCode="#,##0.0_ ;\-#,##0.0\ "/>
    <numFmt numFmtId="170" formatCode="_-* #,##0.0\ _€_-;\-* #,##0.0\ _€_-;_-* &quot;-&quot;\ _€_-;_-@_-"/>
    <numFmt numFmtId="171" formatCode="_-* #,##0.0\ _€_-;\-* #,##0.0\ _€_-;_-* &quot;-&quot;?\ _€_-;_-@_-"/>
    <numFmt numFmtId="172" formatCode="_-* #,##0.00\ _€_-;\-* #,##0.00\ _€_-;_-* &quot;-&quot;\ _€_-;_-@_-"/>
    <numFmt numFmtId="173" formatCode="_-* #,##0\ _€_-;\-* #,##0\ _€_-;_-* &quot;-&quot;?\ _€_-;_-@_-"/>
  </numFmts>
  <fonts count="6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5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2"/>
      <name val="Arial"/>
      <family val="2"/>
    </font>
    <font>
      <sz val="11"/>
      <color indexed="12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1"/>
      <color indexed="55"/>
      <name val="Calibri"/>
      <family val="2"/>
    </font>
    <font>
      <sz val="11"/>
      <color indexed="55"/>
      <name val="Arial"/>
      <family val="2"/>
    </font>
    <font>
      <b/>
      <sz val="11"/>
      <name val="Arial"/>
      <family val="2"/>
    </font>
    <font>
      <sz val="11"/>
      <color indexed="14"/>
      <name val="Calibri"/>
      <family val="2"/>
    </font>
    <font>
      <sz val="11"/>
      <color indexed="23"/>
      <name val="Calibri"/>
      <family val="2"/>
    </font>
    <font>
      <b/>
      <sz val="11"/>
      <color indexed="50"/>
      <name val="Arial"/>
      <family val="2"/>
    </font>
    <font>
      <sz val="8"/>
      <name val="Verdana"/>
      <family val="2"/>
    </font>
    <font>
      <b/>
      <sz val="9"/>
      <color indexed="81"/>
      <name val="Calibri"/>
      <family val="2"/>
    </font>
    <font>
      <vertAlign val="subscript"/>
      <sz val="11"/>
      <name val="Arial"/>
      <family val="2"/>
    </font>
    <font>
      <vertAlign val="subscript"/>
      <sz val="11"/>
      <color indexed="8"/>
      <name val="Arial"/>
      <family val="2"/>
    </font>
    <font>
      <vertAlign val="superscript"/>
      <sz val="10"/>
      <name val="Arial"/>
      <family val="2"/>
    </font>
    <font>
      <vertAlign val="superscript"/>
      <sz val="11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indexed="10"/>
      <name val="Arial"/>
      <family val="2"/>
    </font>
    <font>
      <vertAlign val="superscript"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23"/>
      <name val="Arial"/>
      <family val="2"/>
    </font>
    <font>
      <b/>
      <sz val="11"/>
      <color indexed="23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7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23" borderId="50" applyNumberFormat="0" applyAlignment="0" applyProtection="0"/>
    <xf numFmtId="0" fontId="5" fillId="23" borderId="51" applyNumberFormat="0" applyAlignment="0" applyProtection="0"/>
    <xf numFmtId="43" fontId="2" fillId="0" borderId="0" applyFont="0" applyFill="0" applyBorder="0" applyAlignment="0" applyProtection="0"/>
    <xf numFmtId="0" fontId="6" fillId="10" borderId="51" applyNumberFormat="0" applyAlignment="0" applyProtection="0"/>
    <xf numFmtId="0" fontId="7" fillId="0" borderId="52" applyNumberFormat="0" applyFill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10" fillId="24" borderId="0" applyNumberFormat="0" applyBorder="0" applyAlignment="0" applyProtection="0"/>
    <xf numFmtId="0" fontId="2" fillId="25" borderId="53" applyNumberFormat="0" applyFont="0" applyAlignment="0" applyProtection="0"/>
    <xf numFmtId="9" fontId="2" fillId="0" borderId="0" applyFont="0" applyFill="0" applyBorder="0" applyAlignment="0" applyProtection="0"/>
    <xf numFmtId="0" fontId="11" fillId="6" borderId="0" applyNumberFormat="0" applyBorder="0" applyAlignment="0" applyProtection="0"/>
    <xf numFmtId="0" fontId="26" fillId="0" borderId="0"/>
    <xf numFmtId="0" fontId="22" fillId="0" borderId="0"/>
    <xf numFmtId="0" fontId="12" fillId="0" borderId="0" applyNumberFormat="0" applyFill="0" applyBorder="0" applyAlignment="0" applyProtection="0"/>
    <xf numFmtId="0" fontId="13" fillId="0" borderId="54" applyNumberFormat="0" applyFill="0" applyAlignment="0" applyProtection="0"/>
    <xf numFmtId="0" fontId="14" fillId="0" borderId="55" applyNumberFormat="0" applyFill="0" applyAlignment="0" applyProtection="0"/>
    <xf numFmtId="0" fontId="15" fillId="0" borderId="5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57" applyNumberFormat="0" applyFill="0" applyAlignment="0" applyProtection="0"/>
    <xf numFmtId="0" fontId="17" fillId="0" borderId="0" applyNumberFormat="0" applyFill="0" applyBorder="0" applyAlignment="0" applyProtection="0"/>
    <xf numFmtId="0" fontId="18" fillId="26" borderId="58" applyNumberFormat="0" applyAlignment="0" applyProtection="0"/>
  </cellStyleXfs>
  <cellXfs count="1063">
    <xf numFmtId="0" fontId="0" fillId="0" borderId="0" xfId="0"/>
    <xf numFmtId="0" fontId="19" fillId="0" borderId="0" xfId="0" applyFont="1"/>
    <xf numFmtId="0" fontId="0" fillId="0" borderId="12" xfId="0" applyBorder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0" fontId="0" fillId="0" borderId="1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3" borderId="0" xfId="0" applyFill="1" applyBorder="1"/>
    <xf numFmtId="0" fontId="0" fillId="3" borderId="0" xfId="0" applyFill="1"/>
    <xf numFmtId="164" fontId="0" fillId="0" borderId="0" xfId="0" applyNumberFormat="1" applyBorder="1"/>
    <xf numFmtId="164" fontId="0" fillId="0" borderId="0" xfId="0" applyNumberFormat="1"/>
    <xf numFmtId="0" fontId="0" fillId="0" borderId="0" xfId="0" applyFill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/>
    <xf numFmtId="0" fontId="19" fillId="0" borderId="7" xfId="0" applyFont="1" applyBorder="1"/>
    <xf numFmtId="0" fontId="19" fillId="0" borderId="0" xfId="0" applyFont="1" applyBorder="1"/>
    <xf numFmtId="0" fontId="22" fillId="0" borderId="0" xfId="0" applyFont="1"/>
    <xf numFmtId="0" fontId="23" fillId="0" borderId="0" xfId="0" applyFont="1"/>
    <xf numFmtId="0" fontId="25" fillId="0" borderId="0" xfId="0" applyFont="1"/>
    <xf numFmtId="0" fontId="0" fillId="0" borderId="14" xfId="0" applyBorder="1"/>
    <xf numFmtId="0" fontId="29" fillId="0" borderId="0" xfId="38" applyFont="1"/>
    <xf numFmtId="0" fontId="30" fillId="0" borderId="0" xfId="38" applyFont="1"/>
    <xf numFmtId="0" fontId="17" fillId="0" borderId="0" xfId="38" applyFont="1"/>
    <xf numFmtId="3" fontId="29" fillId="0" borderId="0" xfId="38" applyNumberFormat="1" applyFont="1"/>
    <xf numFmtId="0" fontId="20" fillId="0" borderId="0" xfId="38" applyFont="1"/>
    <xf numFmtId="167" fontId="29" fillId="0" borderId="0" xfId="38" applyNumberFormat="1" applyFont="1"/>
    <xf numFmtId="4" fontId="29" fillId="0" borderId="0" xfId="38" applyNumberFormat="1" applyFont="1"/>
    <xf numFmtId="168" fontId="29" fillId="0" borderId="0" xfId="38" applyNumberFormat="1" applyFont="1"/>
    <xf numFmtId="4" fontId="29" fillId="0" borderId="0" xfId="38" applyNumberFormat="1" applyFont="1" applyAlignment="1">
      <alignment horizontal="right"/>
    </xf>
    <xf numFmtId="0" fontId="0" fillId="0" borderId="0" xfId="0" quotePrefix="1"/>
    <xf numFmtId="0" fontId="29" fillId="0" borderId="0" xfId="38" applyFont="1" applyBorder="1"/>
    <xf numFmtId="0" fontId="17" fillId="0" borderId="14" xfId="0" applyFont="1" applyBorder="1"/>
    <xf numFmtId="3" fontId="28" fillId="0" borderId="0" xfId="38" applyNumberFormat="1" applyFont="1"/>
    <xf numFmtId="0" fontId="28" fillId="0" borderId="0" xfId="38" applyFont="1"/>
    <xf numFmtId="2" fontId="28" fillId="0" borderId="0" xfId="38" applyNumberFormat="1" applyFont="1"/>
    <xf numFmtId="0" fontId="7" fillId="3" borderId="0" xfId="0" applyFont="1" applyFill="1"/>
    <xf numFmtId="0" fontId="27" fillId="0" borderId="0" xfId="0" applyFont="1"/>
    <xf numFmtId="0" fontId="19" fillId="0" borderId="0" xfId="38" applyFont="1"/>
    <xf numFmtId="0" fontId="33" fillId="0" borderId="0" xfId="38" applyFont="1"/>
    <xf numFmtId="2" fontId="0" fillId="0" borderId="0" xfId="0" applyNumberFormat="1"/>
    <xf numFmtId="168" fontId="0" fillId="0" borderId="0" xfId="0" applyNumberFormat="1"/>
    <xf numFmtId="0" fontId="26" fillId="0" borderId="0" xfId="37" applyFont="1" applyAlignment="1">
      <alignment vertical="center"/>
    </xf>
    <xf numFmtId="3" fontId="0" fillId="0" borderId="0" xfId="0" applyNumberFormat="1"/>
    <xf numFmtId="0" fontId="0" fillId="0" borderId="10" xfId="0" applyFill="1" applyBorder="1" applyAlignment="1">
      <alignment horizontal="center"/>
    </xf>
    <xf numFmtId="3" fontId="29" fillId="0" borderId="0" xfId="38" applyNumberFormat="1" applyFont="1" applyAlignment="1">
      <alignment horizontal="center"/>
    </xf>
    <xf numFmtId="0" fontId="36" fillId="0" borderId="0" xfId="0" applyFont="1"/>
    <xf numFmtId="0" fontId="0" fillId="0" borderId="0" xfId="0" applyFill="1" applyAlignment="1">
      <alignment horizontal="center"/>
    </xf>
    <xf numFmtId="0" fontId="0" fillId="0" borderId="10" xfId="0" applyFill="1" applyBorder="1"/>
    <xf numFmtId="0" fontId="0" fillId="0" borderId="40" xfId="0" applyBorder="1" applyAlignment="1">
      <alignment horizontal="center"/>
    </xf>
    <xf numFmtId="3" fontId="29" fillId="0" borderId="10" xfId="38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7" fontId="20" fillId="0" borderId="7" xfId="38" applyNumberFormat="1" applyFont="1" applyBorder="1"/>
    <xf numFmtId="0" fontId="17" fillId="0" borderId="10" xfId="0" applyFont="1" applyBorder="1"/>
    <xf numFmtId="0" fontId="17" fillId="0" borderId="0" xfId="0" applyFont="1" applyBorder="1"/>
    <xf numFmtId="167" fontId="29" fillId="0" borderId="10" xfId="38" applyNumberFormat="1" applyFont="1" applyBorder="1"/>
    <xf numFmtId="0" fontId="29" fillId="0" borderId="10" xfId="38" applyFont="1" applyBorder="1"/>
    <xf numFmtId="0" fontId="1" fillId="0" borderId="0" xfId="0" applyFont="1" applyFill="1" applyBorder="1"/>
    <xf numFmtId="0" fontId="1" fillId="0" borderId="0" xfId="38" applyFont="1" applyBorder="1"/>
    <xf numFmtId="167" fontId="29" fillId="0" borderId="0" xfId="38" applyNumberFormat="1" applyFont="1" applyBorder="1"/>
    <xf numFmtId="167" fontId="29" fillId="0" borderId="7" xfId="38" applyNumberFormat="1" applyFont="1" applyBorder="1"/>
    <xf numFmtId="0" fontId="29" fillId="0" borderId="7" xfId="38" applyFont="1" applyBorder="1"/>
    <xf numFmtId="167" fontId="20" fillId="0" borderId="0" xfId="38" applyNumberFormat="1" applyFont="1" applyBorder="1"/>
    <xf numFmtId="0" fontId="20" fillId="0" borderId="10" xfId="38" applyFont="1" applyBorder="1"/>
    <xf numFmtId="0" fontId="20" fillId="0" borderId="0" xfId="38" applyFont="1" applyBorder="1"/>
    <xf numFmtId="3" fontId="20" fillId="0" borderId="0" xfId="38" applyNumberFormat="1" applyFont="1" applyBorder="1"/>
    <xf numFmtId="0" fontId="20" fillId="0" borderId="7" xfId="38" applyFont="1" applyBorder="1"/>
    <xf numFmtId="3" fontId="29" fillId="0" borderId="0" xfId="38" applyNumberFormat="1" applyFont="1" applyBorder="1"/>
    <xf numFmtId="167" fontId="29" fillId="0" borderId="10" xfId="38" applyNumberFormat="1" applyFont="1" applyBorder="1" applyAlignment="1">
      <alignment horizontal="left"/>
    </xf>
    <xf numFmtId="167" fontId="29" fillId="0" borderId="0" xfId="38" applyNumberFormat="1" applyFont="1" applyBorder="1" applyAlignment="1">
      <alignment horizontal="left"/>
    </xf>
    <xf numFmtId="167" fontId="29" fillId="0" borderId="7" xfId="38" applyNumberFormat="1" applyFont="1" applyBorder="1" applyAlignment="1">
      <alignment horizontal="left"/>
    </xf>
    <xf numFmtId="0" fontId="0" fillId="0" borderId="7" xfId="0" applyFill="1" applyBorder="1"/>
    <xf numFmtId="0" fontId="0" fillId="0" borderId="0" xfId="0" quotePrefix="1" applyBorder="1"/>
    <xf numFmtId="0" fontId="0" fillId="0" borderId="40" xfId="0" applyBorder="1"/>
    <xf numFmtId="0" fontId="17" fillId="0" borderId="7" xfId="38" applyFont="1" applyBorder="1"/>
    <xf numFmtId="0" fontId="19" fillId="0" borderId="0" xfId="38" applyFont="1" applyBorder="1"/>
    <xf numFmtId="0" fontId="17" fillId="0" borderId="0" xfId="38" applyFont="1" applyBorder="1"/>
    <xf numFmtId="0" fontId="20" fillId="0" borderId="0" xfId="38" applyFont="1" applyFill="1" applyBorder="1"/>
    <xf numFmtId="0" fontId="17" fillId="0" borderId="7" xfId="0" applyFont="1" applyBorder="1"/>
    <xf numFmtId="0" fontId="0" fillId="0" borderId="0" xfId="0" applyFill="1" applyBorder="1" applyAlignment="1">
      <alignment horizontal="center"/>
    </xf>
    <xf numFmtId="0" fontId="29" fillId="0" borderId="7" xfId="0" applyFont="1" applyBorder="1"/>
    <xf numFmtId="0" fontId="37" fillId="0" borderId="0" xfId="0" applyFont="1"/>
    <xf numFmtId="0" fontId="37" fillId="0" borderId="10" xfId="0" applyFont="1" applyBorder="1"/>
    <xf numFmtId="0" fontId="37" fillId="0" borderId="0" xfId="0" applyFont="1" applyBorder="1"/>
    <xf numFmtId="0" fontId="37" fillId="0" borderId="7" xfId="0" applyFont="1" applyBorder="1"/>
    <xf numFmtId="3" fontId="29" fillId="0" borderId="0" xfId="38" applyNumberFormat="1" applyFont="1" applyFill="1" applyBorder="1" applyAlignment="1">
      <alignment horizontal="center"/>
    </xf>
    <xf numFmtId="0" fontId="31" fillId="0" borderId="10" xfId="38" applyFont="1" applyBorder="1"/>
    <xf numFmtId="0" fontId="19" fillId="0" borderId="10" xfId="38" applyFont="1" applyBorder="1"/>
    <xf numFmtId="167" fontId="19" fillId="0" borderId="0" xfId="38" applyNumberFormat="1" applyFont="1" applyBorder="1"/>
    <xf numFmtId="1" fontId="19" fillId="0" borderId="7" xfId="38" applyNumberFormat="1" applyFont="1" applyBorder="1"/>
    <xf numFmtId="0" fontId="19" fillId="0" borderId="7" xfId="38" applyFont="1" applyBorder="1"/>
    <xf numFmtId="0" fontId="28" fillId="0" borderId="0" xfId="38" applyFont="1" applyBorder="1"/>
    <xf numFmtId="1" fontId="28" fillId="0" borderId="7" xfId="38" applyNumberFormat="1" applyFont="1" applyBorder="1"/>
    <xf numFmtId="0" fontId="28" fillId="0" borderId="7" xfId="38" applyFont="1" applyBorder="1"/>
    <xf numFmtId="2" fontId="19" fillId="0" borderId="0" xfId="38" applyNumberFormat="1" applyFont="1" applyBorder="1"/>
    <xf numFmtId="3" fontId="19" fillId="0" borderId="0" xfId="38" applyNumberFormat="1" applyFont="1" applyBorder="1"/>
    <xf numFmtId="165" fontId="19" fillId="0" borderId="7" xfId="38" applyNumberFormat="1" applyFont="1" applyBorder="1"/>
    <xf numFmtId="0" fontId="33" fillId="0" borderId="7" xfId="38" applyFont="1" applyBorder="1"/>
    <xf numFmtId="0" fontId="33" fillId="0" borderId="0" xfId="0" applyFont="1" applyBorder="1"/>
    <xf numFmtId="168" fontId="19" fillId="0" borderId="7" xfId="38" applyNumberFormat="1" applyFont="1" applyBorder="1"/>
    <xf numFmtId="0" fontId="19" fillId="0" borderId="7" xfId="38" applyFont="1" applyBorder="1" applyAlignment="1">
      <alignment horizontal="left"/>
    </xf>
    <xf numFmtId="3" fontId="28" fillId="0" borderId="10" xfId="38" applyNumberFormat="1" applyFont="1" applyBorder="1"/>
    <xf numFmtId="0" fontId="28" fillId="0" borderId="10" xfId="38" applyFont="1" applyBorder="1"/>
    <xf numFmtId="2" fontId="28" fillId="0" borderId="0" xfId="38" applyNumberFormat="1" applyFont="1" applyBorder="1"/>
    <xf numFmtId="2" fontId="28" fillId="0" borderId="7" xfId="38" applyNumberFormat="1" applyFont="1" applyBorder="1"/>
    <xf numFmtId="3" fontId="28" fillId="0" borderId="0" xfId="38" applyNumberFormat="1" applyFont="1" applyBorder="1"/>
    <xf numFmtId="167" fontId="28" fillId="0" borderId="0" xfId="38" applyNumberFormat="1" applyFont="1" applyBorder="1"/>
    <xf numFmtId="1" fontId="19" fillId="0" borderId="0" xfId="38" applyNumberFormat="1" applyFont="1" applyBorder="1"/>
    <xf numFmtId="0" fontId="0" fillId="2" borderId="10" xfId="0" applyFill="1" applyBorder="1"/>
    <xf numFmtId="3" fontId="28" fillId="2" borderId="10" xfId="38" applyNumberFormat="1" applyFont="1" applyFill="1" applyBorder="1"/>
    <xf numFmtId="0" fontId="28" fillId="2" borderId="10" xfId="38" applyFont="1" applyFill="1" applyBorder="1"/>
    <xf numFmtId="0" fontId="0" fillId="2" borderId="0" xfId="0" applyFill="1" applyBorder="1"/>
    <xf numFmtId="2" fontId="28" fillId="2" borderId="0" xfId="38" applyNumberFormat="1" applyFont="1" applyFill="1" applyBorder="1"/>
    <xf numFmtId="0" fontId="28" fillId="2" borderId="0" xfId="38" applyFont="1" applyFill="1" applyBorder="1"/>
    <xf numFmtId="0" fontId="0" fillId="2" borderId="7" xfId="0" applyFill="1" applyBorder="1"/>
    <xf numFmtId="0" fontId="0" fillId="0" borderId="7" xfId="0" applyBorder="1" applyAlignment="1">
      <alignment horizontal="left"/>
    </xf>
    <xf numFmtId="3" fontId="0" fillId="0" borderId="7" xfId="0" applyNumberFormat="1" applyFill="1" applyBorder="1"/>
    <xf numFmtId="165" fontId="19" fillId="0" borderId="0" xfId="38" applyNumberFormat="1" applyFont="1" applyBorder="1"/>
    <xf numFmtId="0" fontId="7" fillId="3" borderId="14" xfId="0" applyFon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3" fontId="0" fillId="0" borderId="0" xfId="0" applyNumberFormat="1" applyBorder="1"/>
    <xf numFmtId="0" fontId="0" fillId="0" borderId="14" xfId="0" applyBorder="1" applyAlignment="1">
      <alignment horizontal="right"/>
    </xf>
    <xf numFmtId="3" fontId="0" fillId="0" borderId="14" xfId="0" applyNumberFormat="1" applyBorder="1"/>
    <xf numFmtId="0" fontId="17" fillId="0" borderId="0" xfId="0" applyFont="1" applyFill="1" applyBorder="1"/>
    <xf numFmtId="0" fontId="0" fillId="0" borderId="14" xfId="0" applyFill="1" applyBorder="1"/>
    <xf numFmtId="3" fontId="29" fillId="0" borderId="14" xfId="38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4" xfId="0" applyNumberFormat="1" applyFill="1" applyBorder="1" applyAlignment="1">
      <alignment horizontal="right"/>
    </xf>
    <xf numFmtId="3" fontId="29" fillId="0" borderId="14" xfId="38" applyNumberFormat="1" applyFont="1" applyBorder="1"/>
    <xf numFmtId="0" fontId="0" fillId="0" borderId="14" xfId="0" applyFill="1" applyBorder="1" applyAlignment="1">
      <alignment horizontal="center"/>
    </xf>
    <xf numFmtId="167" fontId="29" fillId="0" borderId="12" xfId="38" applyNumberFormat="1" applyFont="1" applyBorder="1"/>
    <xf numFmtId="167" fontId="29" fillId="0" borderId="14" xfId="38" applyNumberFormat="1" applyFont="1" applyBorder="1"/>
    <xf numFmtId="167" fontId="29" fillId="0" borderId="16" xfId="38" applyNumberFormat="1" applyFont="1" applyBorder="1"/>
    <xf numFmtId="0" fontId="0" fillId="0" borderId="12" xfId="0" applyFill="1" applyBorder="1"/>
    <xf numFmtId="0" fontId="29" fillId="0" borderId="14" xfId="38" applyFont="1" applyBorder="1"/>
    <xf numFmtId="0" fontId="29" fillId="0" borderId="12" xfId="38" applyFont="1" applyBorder="1"/>
    <xf numFmtId="164" fontId="0" fillId="0" borderId="14" xfId="0" applyNumberFormat="1" applyBorder="1"/>
    <xf numFmtId="1" fontId="20" fillId="0" borderId="14" xfId="38" applyNumberFormat="1" applyFont="1" applyBorder="1"/>
    <xf numFmtId="0" fontId="20" fillId="0" borderId="14" xfId="38" applyFont="1" applyBorder="1"/>
    <xf numFmtId="0" fontId="29" fillId="0" borderId="14" xfId="38" applyFont="1" applyBorder="1" applyAlignment="1">
      <alignment horizontal="right"/>
    </xf>
    <xf numFmtId="4" fontId="29" fillId="0" borderId="14" xfId="38" applyNumberFormat="1" applyFont="1" applyBorder="1"/>
    <xf numFmtId="0" fontId="1" fillId="0" borderId="16" xfId="0" applyFont="1" applyBorder="1"/>
    <xf numFmtId="2" fontId="0" fillId="0" borderId="14" xfId="0" applyNumberFormat="1" applyBorder="1"/>
    <xf numFmtId="1" fontId="0" fillId="0" borderId="12" xfId="0" applyNumberFormat="1" applyBorder="1"/>
    <xf numFmtId="3" fontId="0" fillId="0" borderId="16" xfId="0" applyNumberFormat="1" applyFill="1" applyBorder="1"/>
    <xf numFmtId="0" fontId="37" fillId="0" borderId="14" xfId="0" applyFont="1" applyBorder="1"/>
    <xf numFmtId="3" fontId="37" fillId="0" borderId="14" xfId="0" applyNumberFormat="1" applyFont="1" applyBorder="1"/>
    <xf numFmtId="0" fontId="20" fillId="0" borderId="16" xfId="38" applyFont="1" applyBorder="1" applyAlignment="1">
      <alignment horizontal="left"/>
    </xf>
    <xf numFmtId="0" fontId="0" fillId="2" borderId="12" xfId="0" applyFill="1" applyBorder="1"/>
    <xf numFmtId="0" fontId="0" fillId="2" borderId="14" xfId="0" applyFill="1" applyBorder="1"/>
    <xf numFmtId="0" fontId="0" fillId="2" borderId="16" xfId="0" applyFill="1" applyBorder="1"/>
    <xf numFmtId="0" fontId="7" fillId="3" borderId="14" xfId="0" applyFont="1" applyFill="1" applyBorder="1"/>
    <xf numFmtId="0" fontId="20" fillId="0" borderId="14" xfId="0" applyFont="1" applyBorder="1" applyAlignment="1">
      <alignment horizontal="center"/>
    </xf>
    <xf numFmtId="3" fontId="29" fillId="0" borderId="12" xfId="38" applyNumberFormat="1" applyFont="1" applyBorder="1" applyAlignment="1">
      <alignment horizontal="center"/>
    </xf>
    <xf numFmtId="0" fontId="0" fillId="0" borderId="16" xfId="0" applyFill="1" applyBorder="1"/>
    <xf numFmtId="0" fontId="1" fillId="0" borderId="14" xfId="0" applyFont="1" applyBorder="1"/>
    <xf numFmtId="4" fontId="0" fillId="0" borderId="14" xfId="0" applyNumberFormat="1" applyFill="1" applyBorder="1"/>
    <xf numFmtId="0" fontId="37" fillId="0" borderId="16" xfId="0" applyFont="1" applyBorder="1"/>
    <xf numFmtId="0" fontId="19" fillId="0" borderId="14" xfId="0" applyFont="1" applyBorder="1"/>
    <xf numFmtId="3" fontId="19" fillId="0" borderId="14" xfId="0" applyNumberFormat="1" applyFont="1" applyBorder="1"/>
    <xf numFmtId="164" fontId="0" fillId="0" borderId="12" xfId="0" applyNumberFormat="1" applyBorder="1"/>
    <xf numFmtId="167" fontId="29" fillId="0" borderId="14" xfId="38" applyNumberFormat="1" applyFont="1" applyFill="1" applyBorder="1" applyAlignment="1">
      <alignment horizontal="right"/>
    </xf>
    <xf numFmtId="167" fontId="20" fillId="0" borderId="12" xfId="38" applyNumberFormat="1" applyFont="1" applyBorder="1"/>
    <xf numFmtId="3" fontId="20" fillId="0" borderId="14" xfId="38" applyNumberFormat="1" applyFont="1" applyBorder="1"/>
    <xf numFmtId="2" fontId="20" fillId="0" borderId="16" xfId="38" applyNumberFormat="1" applyFont="1" applyFill="1" applyBorder="1"/>
    <xf numFmtId="0" fontId="20" fillId="0" borderId="0" xfId="38" quotePrefix="1" applyFont="1" applyBorder="1"/>
    <xf numFmtId="0" fontId="20" fillId="0" borderId="0" xfId="0" applyFont="1" applyFill="1" applyBorder="1" applyAlignment="1">
      <alignment horizontal="center"/>
    </xf>
    <xf numFmtId="3" fontId="29" fillId="0" borderId="0" xfId="38" applyNumberFormat="1" applyFont="1" applyBorder="1" applyAlignment="1">
      <alignment horizontal="center"/>
    </xf>
    <xf numFmtId="3" fontId="29" fillId="0" borderId="10" xfId="38" applyNumberFormat="1" applyFont="1" applyFill="1" applyBorder="1" applyAlignment="1">
      <alignment horizontal="center"/>
    </xf>
    <xf numFmtId="1" fontId="0" fillId="0" borderId="14" xfId="0" applyNumberFormat="1" applyFill="1" applyBorder="1" applyAlignment="1">
      <alignment horizontal="right"/>
    </xf>
    <xf numFmtId="0" fontId="17" fillId="0" borderId="14" xfId="0" applyFont="1" applyBorder="1" applyAlignment="1">
      <alignment horizontal="right"/>
    </xf>
    <xf numFmtId="3" fontId="0" fillId="0" borderId="10" xfId="0" applyNumberFormat="1" applyBorder="1" applyAlignment="1">
      <alignment horizontal="center"/>
    </xf>
    <xf numFmtId="3" fontId="29" fillId="0" borderId="7" xfId="38" applyNumberFormat="1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29" fillId="0" borderId="7" xfId="38" applyNumberFormat="1" applyFont="1" applyFill="1" applyBorder="1" applyAlignment="1">
      <alignment horizontal="center"/>
    </xf>
    <xf numFmtId="3" fontId="29" fillId="0" borderId="38" xfId="38" applyNumberFormat="1" applyFont="1" applyBorder="1" applyAlignment="1">
      <alignment horizontal="center"/>
    </xf>
    <xf numFmtId="3" fontId="29" fillId="0" borderId="12" xfId="38" applyNumberFormat="1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right"/>
    </xf>
    <xf numFmtId="4" fontId="29" fillId="0" borderId="16" xfId="38" applyNumberFormat="1" applyFont="1" applyBorder="1"/>
    <xf numFmtId="164" fontId="0" fillId="0" borderId="16" xfId="0" applyNumberFormat="1" applyFill="1" applyBorder="1"/>
    <xf numFmtId="2" fontId="0" fillId="0" borderId="16" xfId="0" applyNumberFormat="1" applyFill="1" applyBorder="1"/>
    <xf numFmtId="0" fontId="1" fillId="0" borderId="16" xfId="0" applyFont="1" applyFill="1" applyBorder="1"/>
    <xf numFmtId="1" fontId="0" fillId="0" borderId="12" xfId="0" applyNumberFormat="1" applyFill="1" applyBorder="1"/>
    <xf numFmtId="4" fontId="29" fillId="0" borderId="16" xfId="38" applyNumberFormat="1" applyFont="1" applyFill="1" applyBorder="1"/>
    <xf numFmtId="4" fontId="29" fillId="0" borderId="14" xfId="38" applyNumberFormat="1" applyFont="1" applyFill="1" applyBorder="1"/>
    <xf numFmtId="0" fontId="20" fillId="0" borderId="14" xfId="38" applyFont="1" applyFill="1" applyBorder="1"/>
    <xf numFmtId="167" fontId="29" fillId="0" borderId="12" xfId="38" applyNumberFormat="1" applyFont="1" applyFill="1" applyBorder="1"/>
    <xf numFmtId="3" fontId="29" fillId="0" borderId="14" xfId="38" applyNumberFormat="1" applyFont="1" applyFill="1" applyBorder="1"/>
    <xf numFmtId="4" fontId="29" fillId="0" borderId="14" xfId="38" applyNumberFormat="1" applyFont="1" applyFill="1" applyBorder="1" applyAlignment="1">
      <alignment horizontal="right"/>
    </xf>
    <xf numFmtId="168" fontId="29" fillId="0" borderId="16" xfId="38" applyNumberFormat="1" applyFont="1" applyFill="1" applyBorder="1"/>
    <xf numFmtId="164" fontId="0" fillId="0" borderId="12" xfId="0" applyNumberFormat="1" applyFill="1" applyBorder="1" applyAlignment="1">
      <alignment horizontal="right"/>
    </xf>
    <xf numFmtId="3" fontId="29" fillId="0" borderId="10" xfId="38" applyNumberFormat="1" applyFont="1" applyBorder="1" applyAlignment="1">
      <alignment horizontal="right"/>
    </xf>
    <xf numFmtId="4" fontId="0" fillId="0" borderId="7" xfId="0" applyNumberFormat="1" applyFill="1" applyBorder="1"/>
    <xf numFmtId="2" fontId="0" fillId="0" borderId="7" xfId="0" applyNumberFormat="1" applyFill="1" applyBorder="1"/>
    <xf numFmtId="3" fontId="0" fillId="0" borderId="7" xfId="0" applyNumberFormat="1" applyBorder="1" applyAlignment="1">
      <alignment horizontal="right"/>
    </xf>
    <xf numFmtId="3" fontId="0" fillId="0" borderId="0" xfId="0" applyNumberFormat="1" applyBorder="1" applyAlignment="1">
      <alignment horizontal="center"/>
    </xf>
    <xf numFmtId="4" fontId="29" fillId="0" borderId="16" xfId="38" applyNumberFormat="1" applyFont="1" applyFill="1" applyBorder="1" applyAlignment="1">
      <alignment horizontal="right"/>
    </xf>
    <xf numFmtId="0" fontId="0" fillId="0" borderId="0" xfId="0" applyBorder="1" applyAlignment="1"/>
    <xf numFmtId="1" fontId="0" fillId="0" borderId="10" xfId="0" applyNumberFormat="1" applyFill="1" applyBorder="1"/>
    <xf numFmtId="0" fontId="29" fillId="0" borderId="14" xfId="38" applyFont="1" applyFill="1" applyBorder="1"/>
    <xf numFmtId="2" fontId="0" fillId="0" borderId="14" xfId="0" applyNumberFormat="1" applyFill="1" applyBorder="1"/>
    <xf numFmtId="0" fontId="20" fillId="0" borderId="7" xfId="38" applyFont="1" applyFill="1" applyBorder="1"/>
    <xf numFmtId="0" fontId="29" fillId="0" borderId="0" xfId="38" applyFont="1" applyFill="1"/>
    <xf numFmtId="0" fontId="20" fillId="0" borderId="12" xfId="38" applyFont="1" applyFill="1" applyBorder="1"/>
    <xf numFmtId="167" fontId="20" fillId="0" borderId="10" xfId="38" applyNumberFormat="1" applyFont="1" applyFill="1" applyBorder="1"/>
    <xf numFmtId="0" fontId="29" fillId="0" borderId="0" xfId="38" applyFont="1" applyFill="1" applyBorder="1"/>
    <xf numFmtId="0" fontId="31" fillId="0" borderId="14" xfId="38" applyFont="1" applyFill="1" applyBorder="1"/>
    <xf numFmtId="164" fontId="29" fillId="0" borderId="0" xfId="38" applyNumberFormat="1" applyFont="1" applyFill="1" applyBorder="1"/>
    <xf numFmtId="0" fontId="31" fillId="0" borderId="16" xfId="38" applyFont="1" applyFill="1" applyBorder="1"/>
    <xf numFmtId="164" fontId="29" fillId="0" borderId="7" xfId="38" applyNumberFormat="1" applyFont="1" applyFill="1" applyBorder="1"/>
    <xf numFmtId="0" fontId="19" fillId="0" borderId="14" xfId="38" applyFont="1" applyFill="1" applyBorder="1"/>
    <xf numFmtId="1" fontId="19" fillId="0" borderId="0" xfId="38" applyNumberFormat="1" applyFont="1" applyFill="1"/>
    <xf numFmtId="168" fontId="29" fillId="0" borderId="14" xfId="38" applyNumberFormat="1" applyFont="1" applyFill="1" applyBorder="1"/>
    <xf numFmtId="0" fontId="20" fillId="0" borderId="0" xfId="38" applyFont="1" applyFill="1"/>
    <xf numFmtId="168" fontId="29" fillId="0" borderId="0" xfId="38" applyNumberFormat="1" applyFont="1" applyFill="1"/>
    <xf numFmtId="164" fontId="29" fillId="0" borderId="14" xfId="38" applyNumberFormat="1" applyFont="1" applyFill="1" applyBorder="1"/>
    <xf numFmtId="3" fontId="29" fillId="0" borderId="0" xfId="38" applyNumberFormat="1" applyFont="1" applyFill="1" applyAlignment="1">
      <alignment horizontal="center"/>
    </xf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4" xfId="0" applyBorder="1" applyAlignment="1"/>
    <xf numFmtId="0" fontId="0" fillId="0" borderId="38" xfId="0" applyBorder="1" applyAlignment="1">
      <alignment horizontal="center"/>
    </xf>
    <xf numFmtId="3" fontId="22" fillId="3" borderId="0" xfId="0" applyNumberFormat="1" applyFont="1" applyFill="1" applyAlignment="1">
      <alignment horizontal="center"/>
    </xf>
    <xf numFmtId="0" fontId="22" fillId="0" borderId="0" xfId="0" applyFont="1" applyFill="1"/>
    <xf numFmtId="0" fontId="27" fillId="0" borderId="0" xfId="0" applyFont="1" applyFill="1"/>
    <xf numFmtId="2" fontId="27" fillId="0" borderId="0" xfId="0" applyNumberFormat="1" applyFont="1" applyFill="1"/>
    <xf numFmtId="168" fontId="27" fillId="0" borderId="0" xfId="0" applyNumberFormat="1" applyFont="1" applyFill="1"/>
    <xf numFmtId="4" fontId="29" fillId="0" borderId="12" xfId="38" applyNumberFormat="1" applyFont="1" applyBorder="1"/>
    <xf numFmtId="164" fontId="20" fillId="0" borderId="0" xfId="38" applyNumberFormat="1" applyFont="1" applyBorder="1"/>
    <xf numFmtId="167" fontId="20" fillId="0" borderId="14" xfId="38" applyNumberFormat="1" applyFont="1" applyBorder="1"/>
    <xf numFmtId="2" fontId="29" fillId="0" borderId="14" xfId="38" applyNumberFormat="1" applyFont="1" applyBorder="1"/>
    <xf numFmtId="2" fontId="29" fillId="0" borderId="16" xfId="38" applyNumberFormat="1" applyFont="1" applyFill="1" applyBorder="1"/>
    <xf numFmtId="167" fontId="20" fillId="0" borderId="12" xfId="38" applyNumberFormat="1" applyFont="1" applyFill="1" applyBorder="1"/>
    <xf numFmtId="164" fontId="29" fillId="0" borderId="16" xfId="38" applyNumberFormat="1" applyFont="1" applyFill="1" applyBorder="1"/>
    <xf numFmtId="167" fontId="37" fillId="0" borderId="12" xfId="0" applyNumberFormat="1" applyFont="1" applyBorder="1"/>
    <xf numFmtId="167" fontId="0" fillId="0" borderId="16" xfId="0" applyNumberFormat="1" applyFill="1" applyBorder="1"/>
    <xf numFmtId="168" fontId="0" fillId="0" borderId="16" xfId="0" applyNumberFormat="1" applyFill="1" applyBorder="1"/>
    <xf numFmtId="4" fontId="37" fillId="0" borderId="16" xfId="0" applyNumberFormat="1" applyFont="1" applyBorder="1"/>
    <xf numFmtId="167" fontId="19" fillId="0" borderId="14" xfId="0" applyNumberFormat="1" applyFont="1" applyBorder="1"/>
    <xf numFmtId="167" fontId="37" fillId="0" borderId="16" xfId="0" applyNumberFormat="1" applyFont="1" applyBorder="1"/>
    <xf numFmtId="167" fontId="19" fillId="0" borderId="16" xfId="0" applyNumberFormat="1" applyFont="1" applyBorder="1"/>
    <xf numFmtId="4" fontId="0" fillId="0" borderId="12" xfId="0" applyNumberFormat="1" applyBorder="1"/>
    <xf numFmtId="3" fontId="0" fillId="0" borderId="16" xfId="0" applyNumberFormat="1" applyBorder="1"/>
    <xf numFmtId="3" fontId="29" fillId="0" borderId="0" xfId="38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7" fontId="17" fillId="0" borderId="7" xfId="38" applyNumberFormat="1" applyFont="1" applyFill="1" applyBorder="1"/>
    <xf numFmtId="2" fontId="0" fillId="0" borderId="40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29" fillId="0" borderId="7" xfId="38" applyNumberFormat="1" applyFont="1" applyFill="1" applyBorder="1" applyAlignment="1">
      <alignment horizontal="right"/>
    </xf>
    <xf numFmtId="1" fontId="0" fillId="0" borderId="40" xfId="0" applyNumberFormat="1" applyFill="1" applyBorder="1" applyAlignment="1">
      <alignment horizontal="center"/>
    </xf>
    <xf numFmtId="0" fontId="17" fillId="0" borderId="7" xfId="0" applyFont="1" applyBorder="1" applyAlignment="1">
      <alignment horizontal="right"/>
    </xf>
    <xf numFmtId="164" fontId="0" fillId="0" borderId="16" xfId="0" applyNumberFormat="1" applyBorder="1"/>
    <xf numFmtId="3" fontId="0" fillId="0" borderId="0" xfId="0" applyNumberFormat="1" applyBorder="1" applyAlignment="1">
      <alignment horizontal="right"/>
    </xf>
    <xf numFmtId="2" fontId="0" fillId="0" borderId="16" xfId="0" applyNumberFormat="1" applyBorder="1"/>
    <xf numFmtId="164" fontId="0" fillId="0" borderId="7" xfId="0" applyNumberFormat="1" applyBorder="1"/>
    <xf numFmtId="3" fontId="22" fillId="0" borderId="0" xfId="0" applyNumberFormat="1" applyFont="1" applyFill="1" applyAlignment="1">
      <alignment horizontal="center"/>
    </xf>
    <xf numFmtId="3" fontId="29" fillId="0" borderId="13" xfId="38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Fill="1" applyBorder="1" applyAlignment="1">
      <alignment horizontal="center"/>
    </xf>
    <xf numFmtId="3" fontId="29" fillId="0" borderId="15" xfId="38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29" fillId="0" borderId="17" xfId="38" applyNumberFormat="1" applyFont="1" applyFill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3" fontId="29" fillId="0" borderId="38" xfId="38" applyNumberFormat="1" applyFont="1" applyFill="1" applyBorder="1" applyAlignment="1">
      <alignment horizontal="center"/>
    </xf>
    <xf numFmtId="0" fontId="25" fillId="0" borderId="0" xfId="0" applyFont="1" applyFill="1"/>
    <xf numFmtId="0" fontId="22" fillId="3" borderId="0" xfId="0" applyFont="1" applyFill="1"/>
    <xf numFmtId="0" fontId="22" fillId="2" borderId="0" xfId="0" applyFont="1" applyFill="1"/>
    <xf numFmtId="3" fontId="32" fillId="0" borderId="14" xfId="27" applyNumberFormat="1" applyFont="1" applyFill="1" applyBorder="1" applyAlignment="1">
      <alignment horizontal="center" vertical="center"/>
    </xf>
    <xf numFmtId="167" fontId="32" fillId="0" borderId="14" xfId="0" applyNumberFormat="1" applyFont="1" applyFill="1" applyBorder="1" applyAlignment="1">
      <alignment horizontal="center" vertical="center"/>
    </xf>
    <xf numFmtId="3" fontId="29" fillId="0" borderId="12" xfId="38" applyNumberFormat="1" applyFont="1" applyBorder="1" applyAlignment="1">
      <alignment horizontal="right"/>
    </xf>
    <xf numFmtId="3" fontId="29" fillId="0" borderId="12" xfId="38" applyNumberFormat="1" applyFont="1" applyBorder="1"/>
    <xf numFmtId="4" fontId="29" fillId="0" borderId="16" xfId="38" applyNumberFormat="1" applyFont="1" applyFill="1" applyBorder="1"/>
    <xf numFmtId="167" fontId="29" fillId="0" borderId="16" xfId="38" applyNumberFormat="1" applyFont="1" applyFill="1" applyBorder="1"/>
    <xf numFmtId="0" fontId="20" fillId="0" borderId="16" xfId="38" applyFont="1" applyFill="1" applyBorder="1"/>
    <xf numFmtId="167" fontId="32" fillId="0" borderId="0" xfId="0" applyNumberFormat="1" applyFont="1" applyFill="1" applyBorder="1" applyAlignment="1">
      <alignment horizontal="center" vertical="center"/>
    </xf>
    <xf numFmtId="167" fontId="32" fillId="0" borderId="5" xfId="0" applyNumberFormat="1" applyFont="1" applyFill="1" applyBorder="1" applyAlignment="1">
      <alignment horizontal="center" vertical="center"/>
    </xf>
    <xf numFmtId="3" fontId="35" fillId="0" borderId="19" xfId="27" applyNumberFormat="1" applyFont="1" applyFill="1" applyBorder="1" applyAlignment="1">
      <alignment horizontal="center" vertical="center"/>
    </xf>
    <xf numFmtId="167" fontId="32" fillId="0" borderId="14" xfId="0" applyNumberFormat="1" applyFont="1" applyBorder="1" applyAlignment="1">
      <alignment horizontal="center" vertical="center"/>
    </xf>
    <xf numFmtId="167" fontId="32" fillId="0" borderId="0" xfId="0" applyNumberFormat="1" applyFont="1" applyBorder="1" applyAlignment="1">
      <alignment horizontal="center" vertical="center"/>
    </xf>
    <xf numFmtId="3" fontId="32" fillId="0" borderId="0" xfId="27" applyNumberFormat="1" applyFont="1" applyFill="1" applyBorder="1" applyAlignment="1">
      <alignment horizontal="center" vertical="center"/>
    </xf>
    <xf numFmtId="3" fontId="32" fillId="0" borderId="5" xfId="27" applyNumberFormat="1" applyFont="1" applyFill="1" applyBorder="1" applyAlignment="1">
      <alignment horizontal="center" vertical="center"/>
    </xf>
    <xf numFmtId="3" fontId="32" fillId="0" borderId="14" xfId="27" applyNumberFormat="1" applyFont="1" applyFill="1" applyBorder="1" applyAlignment="1">
      <alignment horizontal="center"/>
    </xf>
    <xf numFmtId="3" fontId="32" fillId="0" borderId="0" xfId="27" applyNumberFormat="1" applyFont="1" applyFill="1" applyBorder="1" applyAlignment="1">
      <alignment horizontal="center"/>
    </xf>
    <xf numFmtId="3" fontId="32" fillId="0" borderId="16" xfId="27" applyNumberFormat="1" applyFont="1" applyFill="1" applyBorder="1" applyAlignment="1">
      <alignment horizontal="center"/>
    </xf>
    <xf numFmtId="3" fontId="32" fillId="0" borderId="8" xfId="27" applyNumberFormat="1" applyFont="1" applyFill="1" applyBorder="1" applyAlignment="1">
      <alignment horizontal="center"/>
    </xf>
    <xf numFmtId="3" fontId="32" fillId="0" borderId="5" xfId="27" applyNumberFormat="1" applyFont="1" applyFill="1" applyBorder="1" applyAlignment="1">
      <alignment horizontal="center"/>
    </xf>
    <xf numFmtId="3" fontId="35" fillId="0" borderId="23" xfId="27" applyNumberFormat="1" applyFont="1" applyFill="1" applyBorder="1" applyAlignment="1">
      <alignment horizontal="center" vertical="center"/>
    </xf>
    <xf numFmtId="0" fontId="43" fillId="0" borderId="0" xfId="37" applyFont="1" applyAlignment="1">
      <alignment vertical="center"/>
    </xf>
    <xf numFmtId="0" fontId="0" fillId="0" borderId="0" xfId="0" applyBorder="1" applyAlignment="1">
      <alignment horizontal="center"/>
    </xf>
    <xf numFmtId="0" fontId="29" fillId="0" borderId="12" xfId="0" applyFont="1" applyFill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horizontal="right"/>
    </xf>
    <xf numFmtId="0" fontId="29" fillId="0" borderId="14" xfId="0" applyFont="1" applyFill="1" applyBorder="1" applyAlignment="1" applyProtection="1">
      <alignment horizontal="right"/>
      <protection locked="0"/>
    </xf>
    <xf numFmtId="0" fontId="0" fillId="0" borderId="14" xfId="0" applyFill="1" applyBorder="1" applyAlignment="1" applyProtection="1">
      <alignment horizontal="right"/>
    </xf>
    <xf numFmtId="167" fontId="29" fillId="0" borderId="14" xfId="38" applyNumberFormat="1" applyFont="1" applyFill="1" applyBorder="1"/>
    <xf numFmtId="4" fontId="29" fillId="0" borderId="12" xfId="38" applyNumberFormat="1" applyFont="1" applyFill="1" applyBorder="1"/>
    <xf numFmtId="0" fontId="1" fillId="0" borderId="12" xfId="0" applyFont="1" applyFill="1" applyBorder="1" applyAlignment="1" applyProtection="1">
      <alignment horizontal="right"/>
      <protection locked="0"/>
    </xf>
    <xf numFmtId="0" fontId="29" fillId="0" borderId="16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left"/>
    </xf>
    <xf numFmtId="0" fontId="20" fillId="2" borderId="7" xfId="0" applyFont="1" applyFill="1" applyBorder="1" applyAlignment="1" applyProtection="1">
      <alignment horizontal="left"/>
    </xf>
    <xf numFmtId="0" fontId="0" fillId="2" borderId="10" xfId="0" applyFill="1" applyBorder="1" applyAlignment="1">
      <alignment horizontal="left"/>
    </xf>
    <xf numFmtId="0" fontId="20" fillId="2" borderId="7" xfId="0" applyFont="1" applyFill="1" applyBorder="1" applyAlignment="1">
      <alignment horizontal="left"/>
    </xf>
    <xf numFmtId="167" fontId="29" fillId="0" borderId="12" xfId="38" applyNumberFormat="1" applyFont="1" applyFill="1" applyBorder="1"/>
    <xf numFmtId="167" fontId="29" fillId="0" borderId="16" xfId="38" applyNumberFormat="1" applyFont="1" applyFill="1" applyBorder="1"/>
    <xf numFmtId="0" fontId="32" fillId="0" borderId="0" xfId="37" applyFont="1" applyFill="1" applyAlignment="1">
      <alignment vertical="center"/>
    </xf>
    <xf numFmtId="0" fontId="32" fillId="0" borderId="0" xfId="37" applyFont="1" applyAlignment="1">
      <alignment vertical="center"/>
    </xf>
    <xf numFmtId="0" fontId="35" fillId="3" borderId="0" xfId="37" applyFont="1" applyFill="1" applyAlignment="1">
      <alignment vertical="center"/>
    </xf>
    <xf numFmtId="0" fontId="32" fillId="3" borderId="0" xfId="37" applyFont="1" applyFill="1" applyAlignment="1">
      <alignment vertical="center"/>
    </xf>
    <xf numFmtId="0" fontId="32" fillId="2" borderId="0" xfId="37" applyFont="1" applyFill="1" applyAlignment="1">
      <alignment vertical="center"/>
    </xf>
    <xf numFmtId="0" fontId="35" fillId="0" borderId="0" xfId="37" applyFont="1" applyAlignment="1">
      <alignment vertical="center"/>
    </xf>
    <xf numFmtId="0" fontId="32" fillId="0" borderId="0" xfId="37" applyFont="1" applyBorder="1" applyAlignment="1">
      <alignment vertical="center"/>
    </xf>
    <xf numFmtId="0" fontId="24" fillId="0" borderId="0" xfId="37" applyFont="1" applyAlignment="1">
      <alignment horizontal="left" vertical="center"/>
    </xf>
    <xf numFmtId="0" fontId="24" fillId="0" borderId="0" xfId="37" applyFont="1" applyAlignment="1">
      <alignment vertical="center"/>
    </xf>
    <xf numFmtId="0" fontId="32" fillId="0" borderId="0" xfId="37" applyFont="1" applyAlignment="1">
      <alignment horizontal="right" vertical="center"/>
    </xf>
    <xf numFmtId="0" fontId="22" fillId="0" borderId="4" xfId="37" applyFont="1" applyBorder="1" applyAlignment="1">
      <alignment horizontal="left" vertical="center" indent="1"/>
    </xf>
    <xf numFmtId="0" fontId="22" fillId="0" borderId="24" xfId="37" applyFont="1" applyBorder="1" applyAlignment="1">
      <alignment horizontal="left" vertical="center" indent="1"/>
    </xf>
    <xf numFmtId="2" fontId="32" fillId="0" borderId="0" xfId="37" applyNumberFormat="1" applyFont="1" applyFill="1" applyAlignment="1">
      <alignment horizontal="center" vertical="center"/>
    </xf>
    <xf numFmtId="2" fontId="32" fillId="0" borderId="0" xfId="37" applyNumberFormat="1" applyFont="1" applyFill="1" applyBorder="1" applyAlignment="1">
      <alignment horizontal="center" vertical="center"/>
    </xf>
    <xf numFmtId="0" fontId="32" fillId="0" borderId="4" xfId="37" applyFont="1" applyFill="1" applyBorder="1" applyAlignment="1">
      <alignment horizontal="left" vertical="center" indent="1"/>
    </xf>
    <xf numFmtId="2" fontId="32" fillId="0" borderId="33" xfId="37" applyNumberFormat="1" applyFont="1" applyFill="1" applyBorder="1" applyAlignment="1">
      <alignment horizontal="center" vertical="center"/>
    </xf>
    <xf numFmtId="0" fontId="35" fillId="0" borderId="24" xfId="37" applyFont="1" applyFill="1" applyBorder="1" applyAlignment="1">
      <alignment horizontal="left" vertical="center" indent="1"/>
    </xf>
    <xf numFmtId="2" fontId="35" fillId="0" borderId="37" xfId="37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top"/>
    </xf>
    <xf numFmtId="0" fontId="22" fillId="2" borderId="0" xfId="0" applyFont="1" applyFill="1" applyProtection="1"/>
    <xf numFmtId="0" fontId="23" fillId="3" borderId="0" xfId="0" applyFont="1" applyFill="1" applyProtection="1"/>
    <xf numFmtId="0" fontId="22" fillId="3" borderId="0" xfId="0" applyFont="1" applyFill="1" applyProtection="1"/>
    <xf numFmtId="0" fontId="23" fillId="2" borderId="0" xfId="0" applyFont="1" applyFill="1" applyProtection="1"/>
    <xf numFmtId="0" fontId="23" fillId="4" borderId="0" xfId="0" applyFont="1" applyFill="1" applyProtection="1"/>
    <xf numFmtId="0" fontId="23" fillId="3" borderId="0" xfId="0" applyFont="1" applyFill="1" applyBorder="1" applyAlignment="1" applyProtection="1">
      <alignment horizontal="left"/>
    </xf>
    <xf numFmtId="0" fontId="22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left"/>
    </xf>
    <xf numFmtId="3" fontId="22" fillId="2" borderId="11" xfId="38" applyNumberFormat="1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Protection="1"/>
    <xf numFmtId="3" fontId="22" fillId="2" borderId="0" xfId="38" applyNumberFormat="1" applyFont="1" applyFill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left"/>
    </xf>
    <xf numFmtId="3" fontId="34" fillId="2" borderId="0" xfId="38" applyNumberFormat="1" applyFont="1" applyFill="1" applyProtection="1"/>
    <xf numFmtId="0" fontId="34" fillId="2" borderId="0" xfId="0" applyFont="1" applyFill="1" applyProtection="1"/>
    <xf numFmtId="0" fontId="23" fillId="3" borderId="0" xfId="0" applyFont="1" applyFill="1" applyBorder="1" applyProtection="1"/>
    <xf numFmtId="167" fontId="32" fillId="2" borderId="0" xfId="38" applyNumberFormat="1" applyFont="1" applyFill="1" applyProtection="1"/>
    <xf numFmtId="0" fontId="22" fillId="2" borderId="0" xfId="0" applyFont="1" applyFill="1" applyAlignment="1" applyProtection="1">
      <alignment horizontal="center"/>
    </xf>
    <xf numFmtId="0" fontId="23" fillId="2" borderId="1" xfId="0" applyFont="1" applyFill="1" applyBorder="1" applyAlignment="1" applyProtection="1">
      <alignment horizontal="center"/>
    </xf>
    <xf numFmtId="0" fontId="23" fillId="2" borderId="26" xfId="0" applyFont="1" applyFill="1" applyBorder="1" applyAlignment="1" applyProtection="1">
      <alignment horizontal="center"/>
    </xf>
    <xf numFmtId="0" fontId="22" fillId="2" borderId="6" xfId="0" applyFont="1" applyFill="1" applyBorder="1" applyAlignment="1" applyProtection="1">
      <alignment horizontal="left" indent="1"/>
    </xf>
    <xf numFmtId="0" fontId="22" fillId="2" borderId="17" xfId="0" applyFont="1" applyFill="1" applyBorder="1" applyAlignment="1" applyProtection="1">
      <alignment horizontal="left" indent="1"/>
    </xf>
    <xf numFmtId="0" fontId="22" fillId="2" borderId="4" xfId="0" applyFont="1" applyFill="1" applyBorder="1" applyAlignment="1" applyProtection="1">
      <alignment horizontal="left" indent="1"/>
    </xf>
    <xf numFmtId="0" fontId="22" fillId="2" borderId="33" xfId="0" applyFont="1" applyFill="1" applyBorder="1" applyAlignment="1" applyProtection="1">
      <alignment horizontal="center"/>
    </xf>
    <xf numFmtId="0" fontId="32" fillId="2" borderId="16" xfId="37" applyFont="1" applyFill="1" applyBorder="1" applyAlignment="1" applyProtection="1">
      <alignment horizontal="center" vertical="center"/>
    </xf>
    <xf numFmtId="0" fontId="32" fillId="2" borderId="14" xfId="37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/>
    </xf>
    <xf numFmtId="0" fontId="22" fillId="2" borderId="7" xfId="0" applyFont="1" applyFill="1" applyBorder="1" applyAlignment="1" applyProtection="1">
      <alignment horizontal="left" vertical="center" indent="1"/>
    </xf>
    <xf numFmtId="0" fontId="22" fillId="2" borderId="16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 vertical="center" indent="1"/>
    </xf>
    <xf numFmtId="0" fontId="22" fillId="2" borderId="24" xfId="0" applyFont="1" applyFill="1" applyBorder="1" applyAlignment="1" applyProtection="1">
      <alignment horizontal="left" indent="1"/>
    </xf>
    <xf numFmtId="165" fontId="22" fillId="2" borderId="0" xfId="0" applyNumberFormat="1" applyFont="1" applyFill="1" applyBorder="1" applyAlignment="1" applyProtection="1">
      <alignment horizontal="center"/>
    </xf>
    <xf numFmtId="1" fontId="46" fillId="2" borderId="0" xfId="27" applyNumberFormat="1" applyFont="1" applyFill="1" applyBorder="1" applyAlignment="1" applyProtection="1">
      <alignment horizontal="center" vertical="center"/>
    </xf>
    <xf numFmtId="3" fontId="32" fillId="2" borderId="7" xfId="27" applyNumberFormat="1" applyFont="1" applyFill="1" applyBorder="1" applyAlignment="1" applyProtection="1">
      <alignment horizontal="center" vertical="center"/>
    </xf>
    <xf numFmtId="1" fontId="23" fillId="2" borderId="0" xfId="27" applyNumberFormat="1" applyFont="1" applyFill="1" applyBorder="1" applyAlignment="1" applyProtection="1">
      <alignment horizontal="center" vertical="center"/>
    </xf>
    <xf numFmtId="3" fontId="32" fillId="2" borderId="10" xfId="27" applyNumberFormat="1" applyFont="1" applyFill="1" applyBorder="1" applyAlignment="1" applyProtection="1">
      <alignment horizontal="center" vertical="center"/>
    </xf>
    <xf numFmtId="1" fontId="35" fillId="2" borderId="0" xfId="27" applyNumberFormat="1" applyFont="1" applyFill="1" applyBorder="1" applyAlignment="1" applyProtection="1">
      <alignment horizontal="center" vertical="center"/>
    </xf>
    <xf numFmtId="3" fontId="32" fillId="2" borderId="0" xfId="27" applyNumberFormat="1" applyFont="1" applyFill="1" applyBorder="1" applyAlignment="1" applyProtection="1">
      <alignment horizontal="center" vertical="center"/>
    </xf>
    <xf numFmtId="49" fontId="23" fillId="2" borderId="0" xfId="27" applyNumberFormat="1" applyFont="1" applyFill="1" applyBorder="1" applyAlignment="1" applyProtection="1">
      <alignment horizontal="center" vertical="center"/>
    </xf>
    <xf numFmtId="49" fontId="35" fillId="2" borderId="4" xfId="27" applyNumberFormat="1" applyFont="1" applyFill="1" applyBorder="1" applyAlignment="1" applyProtection="1">
      <alignment horizontal="center" vertical="center"/>
    </xf>
    <xf numFmtId="41" fontId="23" fillId="2" borderId="0" xfId="27" applyNumberFormat="1" applyFont="1" applyFill="1" applyBorder="1" applyAlignment="1" applyProtection="1">
      <alignment horizontal="center" vertical="center"/>
    </xf>
    <xf numFmtId="49" fontId="32" fillId="2" borderId="4" xfId="27" applyNumberFormat="1" applyFont="1" applyFill="1" applyBorder="1" applyAlignment="1" applyProtection="1">
      <alignment horizontal="center" vertical="center"/>
    </xf>
    <xf numFmtId="1" fontId="32" fillId="2" borderId="14" xfId="27" applyNumberFormat="1" applyFont="1" applyFill="1" applyBorder="1" applyAlignment="1" applyProtection="1">
      <alignment horizontal="center" vertical="center"/>
    </xf>
    <xf numFmtId="164" fontId="32" fillId="4" borderId="0" xfId="27" applyNumberFormat="1" applyFont="1" applyFill="1" applyBorder="1" applyAlignment="1" applyProtection="1">
      <alignment horizontal="center" vertical="center"/>
      <protection locked="0"/>
    </xf>
    <xf numFmtId="164" fontId="32" fillId="4" borderId="15" xfId="27" applyNumberFormat="1" applyFont="1" applyFill="1" applyBorder="1" applyAlignment="1" applyProtection="1">
      <alignment horizontal="center" vertical="center"/>
      <protection locked="0"/>
    </xf>
    <xf numFmtId="164" fontId="32" fillId="2" borderId="5" xfId="27" applyNumberFormat="1" applyFont="1" applyFill="1" applyBorder="1" applyAlignment="1" applyProtection="1">
      <alignment horizontal="center" vertical="center"/>
    </xf>
    <xf numFmtId="164" fontId="22" fillId="2" borderId="0" xfId="27" applyNumberFormat="1" applyFont="1" applyFill="1" applyBorder="1" applyAlignment="1" applyProtection="1">
      <alignment horizontal="center" vertical="center"/>
    </xf>
    <xf numFmtId="49" fontId="32" fillId="2" borderId="6" xfId="27" applyNumberFormat="1" applyFont="1" applyFill="1" applyBorder="1" applyAlignment="1" applyProtection="1">
      <alignment horizontal="center" vertical="center"/>
    </xf>
    <xf numFmtId="1" fontId="32" fillId="2" borderId="16" xfId="27" applyNumberFormat="1" applyFont="1" applyFill="1" applyBorder="1" applyAlignment="1" applyProtection="1">
      <alignment horizontal="center" vertical="center"/>
    </xf>
    <xf numFmtId="164" fontId="32" fillId="4" borderId="7" xfId="27" applyNumberFormat="1" applyFont="1" applyFill="1" applyBorder="1" applyAlignment="1" applyProtection="1">
      <alignment horizontal="center" vertical="center"/>
      <protection locked="0"/>
    </xf>
    <xf numFmtId="164" fontId="32" fillId="4" borderId="17" xfId="27" applyNumberFormat="1" applyFont="1" applyFill="1" applyBorder="1" applyAlignment="1" applyProtection="1">
      <alignment horizontal="center" vertical="center"/>
      <protection locked="0"/>
    </xf>
    <xf numFmtId="49" fontId="23" fillId="2" borderId="18" xfId="27" applyNumberFormat="1" applyFont="1" applyFill="1" applyBorder="1" applyAlignment="1" applyProtection="1">
      <alignment horizontal="center" vertical="center"/>
    </xf>
    <xf numFmtId="1" fontId="23" fillId="2" borderId="19" xfId="27" applyNumberFormat="1" applyFont="1" applyFill="1" applyBorder="1" applyAlignment="1" applyProtection="1">
      <alignment horizontal="center" vertical="center"/>
    </xf>
    <xf numFmtId="164" fontId="23" fillId="2" borderId="20" xfId="27" applyNumberFormat="1" applyFont="1" applyFill="1" applyBorder="1" applyAlignment="1" applyProtection="1">
      <alignment horizontal="center" vertical="center"/>
    </xf>
    <xf numFmtId="1" fontId="23" fillId="2" borderId="21" xfId="27" applyNumberFormat="1" applyFont="1" applyFill="1" applyBorder="1" applyAlignment="1" applyProtection="1">
      <alignment horizontal="center" vertical="center"/>
    </xf>
    <xf numFmtId="1" fontId="23" fillId="2" borderId="19" xfId="27" applyNumberFormat="1" applyFont="1" applyFill="1" applyBorder="1" applyAlignment="1" applyProtection="1">
      <alignment horizontal="center" vertical="center"/>
    </xf>
    <xf numFmtId="164" fontId="23" fillId="2" borderId="23" xfId="27" applyNumberFormat="1" applyFont="1" applyFill="1" applyBorder="1" applyAlignment="1" applyProtection="1">
      <alignment horizontal="center" vertical="center"/>
    </xf>
    <xf numFmtId="164" fontId="23" fillId="2" borderId="0" xfId="27" applyNumberFormat="1" applyFont="1" applyFill="1" applyBorder="1" applyAlignment="1" applyProtection="1">
      <alignment horizontal="center" vertical="center"/>
    </xf>
    <xf numFmtId="3" fontId="32" fillId="2" borderId="2" xfId="27" applyNumberFormat="1" applyFont="1" applyFill="1" applyBorder="1" applyAlignment="1" applyProtection="1">
      <alignment horizontal="center" vertical="center"/>
    </xf>
    <xf numFmtId="1" fontId="32" fillId="2" borderId="2" xfId="27" applyNumberFormat="1" applyFont="1" applyFill="1" applyBorder="1" applyAlignment="1" applyProtection="1">
      <alignment horizontal="center" vertical="center"/>
    </xf>
    <xf numFmtId="2" fontId="32" fillId="2" borderId="3" xfId="27" applyNumberFormat="1" applyFont="1" applyFill="1" applyBorder="1" applyAlignment="1" applyProtection="1">
      <alignment horizontal="center" vertical="center"/>
    </xf>
    <xf numFmtId="4" fontId="32" fillId="2" borderId="0" xfId="27" applyNumberFormat="1" applyFont="1" applyFill="1" applyBorder="1" applyAlignment="1" applyProtection="1">
      <alignment horizontal="center" vertical="center"/>
    </xf>
    <xf numFmtId="2" fontId="32" fillId="2" borderId="0" xfId="27" applyNumberFormat="1" applyFont="1" applyFill="1" applyBorder="1" applyAlignment="1" applyProtection="1">
      <alignment horizontal="center" vertical="center"/>
    </xf>
    <xf numFmtId="2" fontId="32" fillId="2" borderId="5" xfId="27" applyNumberFormat="1" applyFont="1" applyFill="1" applyBorder="1" applyAlignment="1" applyProtection="1">
      <alignment horizontal="center" vertical="center"/>
    </xf>
    <xf numFmtId="3" fontId="32" fillId="2" borderId="7" xfId="27" applyNumberFormat="1" applyFont="1" applyFill="1" applyBorder="1" applyAlignment="1" applyProtection="1">
      <alignment horizontal="center" vertical="center"/>
    </xf>
    <xf numFmtId="2" fontId="32" fillId="2" borderId="8" xfId="27" applyNumberFormat="1" applyFont="1" applyFill="1" applyBorder="1" applyAlignment="1" applyProtection="1">
      <alignment horizontal="center" vertical="center"/>
    </xf>
    <xf numFmtId="1" fontId="32" fillId="2" borderId="0" xfId="27" applyNumberFormat="1" applyFont="1" applyFill="1" applyBorder="1" applyAlignment="1" applyProtection="1">
      <alignment horizontal="center" vertical="center"/>
    </xf>
    <xf numFmtId="164" fontId="32" fillId="2" borderId="8" xfId="27" applyNumberFormat="1" applyFont="1" applyFill="1" applyBorder="1" applyAlignment="1" applyProtection="1">
      <alignment horizontal="center" vertical="center"/>
    </xf>
    <xf numFmtId="49" fontId="23" fillId="2" borderId="4" xfId="27" applyNumberFormat="1" applyFont="1" applyFill="1" applyBorder="1" applyAlignment="1" applyProtection="1">
      <alignment horizontal="center" vertical="center"/>
    </xf>
    <xf numFmtId="49" fontId="23" fillId="2" borderId="4" xfId="27" applyNumberFormat="1" applyFont="1" applyFill="1" applyBorder="1" applyAlignment="1" applyProtection="1">
      <alignment horizontal="center" vertical="center"/>
    </xf>
    <xf numFmtId="41" fontId="23" fillId="2" borderId="14" xfId="27" applyNumberFormat="1" applyFont="1" applyFill="1" applyBorder="1" applyAlignment="1" applyProtection="1">
      <alignment horizontal="center" vertical="center"/>
    </xf>
    <xf numFmtId="41" fontId="23" fillId="2" borderId="15" xfId="27" applyNumberFormat="1" applyFont="1" applyFill="1" applyBorder="1" applyAlignment="1" applyProtection="1">
      <alignment horizontal="center" vertical="center"/>
    </xf>
    <xf numFmtId="41" fontId="23" fillId="2" borderId="5" xfId="27" applyNumberFormat="1" applyFont="1" applyFill="1" applyBorder="1" applyAlignment="1" applyProtection="1">
      <alignment horizontal="center" vertical="center"/>
    </xf>
    <xf numFmtId="49" fontId="22" fillId="2" borderId="4" xfId="27" applyNumberFormat="1" applyFont="1" applyFill="1" applyBorder="1" applyAlignment="1" applyProtection="1">
      <alignment horizontal="center" vertical="center"/>
    </xf>
    <xf numFmtId="1" fontId="22" fillId="2" borderId="14" xfId="27" applyNumberFormat="1" applyFont="1" applyFill="1" applyBorder="1" applyAlignment="1" applyProtection="1">
      <alignment horizontal="center" vertical="center"/>
    </xf>
    <xf numFmtId="164" fontId="22" fillId="2" borderId="5" xfId="27" applyNumberFormat="1" applyFont="1" applyFill="1" applyBorder="1" applyAlignment="1" applyProtection="1">
      <alignment horizontal="center" vertical="center"/>
    </xf>
    <xf numFmtId="164" fontId="32" fillId="2" borderId="0" xfId="27" applyNumberFormat="1" applyFont="1" applyFill="1" applyBorder="1" applyAlignment="1" applyProtection="1">
      <alignment horizontal="center" vertical="center"/>
    </xf>
    <xf numFmtId="164" fontId="32" fillId="2" borderId="15" xfId="27" applyNumberFormat="1" applyFont="1" applyFill="1" applyBorder="1" applyAlignment="1" applyProtection="1">
      <alignment horizontal="center" vertical="center"/>
    </xf>
    <xf numFmtId="49" fontId="22" fillId="2" borderId="6" xfId="27" applyNumberFormat="1" applyFont="1" applyFill="1" applyBorder="1" applyAlignment="1" applyProtection="1">
      <alignment horizontal="center" vertical="center"/>
    </xf>
    <xf numFmtId="164" fontId="22" fillId="2" borderId="8" xfId="27" applyNumberFormat="1" applyFont="1" applyFill="1" applyBorder="1" applyAlignment="1" applyProtection="1">
      <alignment horizontal="center" vertical="center"/>
    </xf>
    <xf numFmtId="1" fontId="22" fillId="2" borderId="16" xfId="27" applyNumberFormat="1" applyFont="1" applyFill="1" applyBorder="1" applyAlignment="1" applyProtection="1">
      <alignment horizontal="center" vertical="center"/>
    </xf>
    <xf numFmtId="164" fontId="32" fillId="2" borderId="17" xfId="27" applyNumberFormat="1" applyFont="1" applyFill="1" applyBorder="1" applyAlignment="1" applyProtection="1">
      <alignment horizontal="center" vertical="center"/>
    </xf>
    <xf numFmtId="49" fontId="23" fillId="2" borderId="24" xfId="27" applyNumberFormat="1" applyFont="1" applyFill="1" applyBorder="1" applyAlignment="1" applyProtection="1">
      <alignment horizontal="center" vertical="center"/>
    </xf>
    <xf numFmtId="164" fontId="23" fillId="2" borderId="22" xfId="27" applyNumberFormat="1" applyFont="1" applyFill="1" applyBorder="1" applyAlignment="1" applyProtection="1">
      <alignment horizontal="center" vertical="center"/>
    </xf>
    <xf numFmtId="0" fontId="45" fillId="2" borderId="0" xfId="0" applyFont="1" applyFill="1" applyAlignment="1" applyProtection="1">
      <alignment horizontal="left"/>
    </xf>
    <xf numFmtId="169" fontId="32" fillId="0" borderId="11" xfId="37" applyNumberFormat="1" applyFont="1" applyBorder="1" applyAlignment="1">
      <alignment horizontal="center" vertical="center"/>
    </xf>
    <xf numFmtId="169" fontId="32" fillId="2" borderId="15" xfId="37" applyNumberFormat="1" applyFont="1" applyFill="1" applyBorder="1" applyAlignment="1">
      <alignment horizontal="center" vertical="center"/>
    </xf>
    <xf numFmtId="169" fontId="32" fillId="2" borderId="0" xfId="37" applyNumberFormat="1" applyFont="1" applyFill="1" applyBorder="1" applyAlignment="1">
      <alignment horizontal="center" vertical="center"/>
    </xf>
    <xf numFmtId="169" fontId="32" fillId="2" borderId="5" xfId="37" applyNumberFormat="1" applyFont="1" applyFill="1" applyBorder="1" applyAlignment="1">
      <alignment horizontal="center" vertical="center"/>
    </xf>
    <xf numFmtId="169" fontId="32" fillId="0" borderId="0" xfId="37" applyNumberFormat="1" applyFont="1" applyBorder="1" applyAlignment="1">
      <alignment horizontal="center" vertical="center"/>
    </xf>
    <xf numFmtId="169" fontId="32" fillId="0" borderId="5" xfId="37" applyNumberFormat="1" applyFont="1" applyBorder="1" applyAlignment="1">
      <alignment horizontal="center" vertical="center"/>
    </xf>
    <xf numFmtId="169" fontId="32" fillId="0" borderId="0" xfId="37" applyNumberFormat="1" applyFont="1" applyFill="1" applyBorder="1" applyAlignment="1">
      <alignment horizontal="center" vertical="center"/>
    </xf>
    <xf numFmtId="169" fontId="32" fillId="0" borderId="5" xfId="37" applyNumberFormat="1" applyFont="1" applyFill="1" applyBorder="1" applyAlignment="1">
      <alignment horizontal="center" vertical="center"/>
    </xf>
    <xf numFmtId="169" fontId="35" fillId="0" borderId="46" xfId="37" applyNumberFormat="1" applyFont="1" applyBorder="1" applyAlignment="1">
      <alignment horizontal="center" vertical="center"/>
    </xf>
    <xf numFmtId="0" fontId="24" fillId="0" borderId="0" xfId="37" applyFont="1" applyBorder="1" applyAlignment="1">
      <alignment vertical="center"/>
    </xf>
    <xf numFmtId="164" fontId="32" fillId="0" borderId="0" xfId="37" applyNumberFormat="1" applyFont="1" applyAlignment="1">
      <alignment vertical="center"/>
    </xf>
    <xf numFmtId="164" fontId="32" fillId="2" borderId="0" xfId="37" applyNumberFormat="1" applyFont="1" applyFill="1" applyAlignment="1">
      <alignment horizontal="center" vertical="center"/>
    </xf>
    <xf numFmtId="0" fontId="35" fillId="0" borderId="6" xfId="37" applyFont="1" applyFill="1" applyBorder="1" applyAlignment="1">
      <alignment horizontal="left" vertical="center" indent="1"/>
    </xf>
    <xf numFmtId="2" fontId="35" fillId="0" borderId="32" xfId="37" applyNumberFormat="1" applyFont="1" applyFill="1" applyBorder="1" applyAlignment="1">
      <alignment horizontal="center" vertical="center"/>
    </xf>
    <xf numFmtId="0" fontId="22" fillId="2" borderId="35" xfId="0" applyFont="1" applyFill="1" applyBorder="1" applyAlignment="1" applyProtection="1">
      <alignment horizontal="center"/>
    </xf>
    <xf numFmtId="0" fontId="22" fillId="2" borderId="37" xfId="0" applyFont="1" applyFill="1" applyBorder="1" applyAlignment="1" applyProtection="1">
      <alignment horizontal="center"/>
    </xf>
    <xf numFmtId="0" fontId="22" fillId="2" borderId="22" xfId="0" applyFont="1" applyFill="1" applyBorder="1" applyAlignment="1" applyProtection="1">
      <alignment horizontal="left" indent="1"/>
    </xf>
    <xf numFmtId="164" fontId="22" fillId="2" borderId="35" xfId="0" applyNumberFormat="1" applyFont="1" applyFill="1" applyBorder="1" applyAlignment="1" applyProtection="1">
      <alignment horizontal="center"/>
    </xf>
    <xf numFmtId="164" fontId="22" fillId="2" borderId="0" xfId="0" applyNumberFormat="1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left" indent="1"/>
    </xf>
    <xf numFmtId="167" fontId="32" fillId="0" borderId="19" xfId="0" applyNumberFormat="1" applyFont="1" applyFill="1" applyBorder="1" applyAlignment="1">
      <alignment horizontal="center" vertical="center"/>
    </xf>
    <xf numFmtId="167" fontId="32" fillId="0" borderId="23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32" fillId="0" borderId="0" xfId="0" applyFont="1" applyFill="1" applyBorder="1" applyAlignment="1">
      <alignment horizontal="left" indent="1"/>
    </xf>
    <xf numFmtId="0" fontId="22" fillId="0" borderId="0" xfId="0" applyFont="1" applyBorder="1"/>
    <xf numFmtId="168" fontId="27" fillId="0" borderId="0" xfId="0" applyNumberFormat="1" applyFont="1" applyFill="1" applyBorder="1"/>
    <xf numFmtId="0" fontId="27" fillId="0" borderId="0" xfId="0" applyFont="1" applyBorder="1"/>
    <xf numFmtId="3" fontId="32" fillId="0" borderId="19" xfId="27" applyNumberFormat="1" applyFont="1" applyFill="1" applyBorder="1" applyAlignment="1">
      <alignment horizontal="center" vertical="center"/>
    </xf>
    <xf numFmtId="3" fontId="32" fillId="0" borderId="23" xfId="27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indent="1"/>
    </xf>
    <xf numFmtId="1" fontId="27" fillId="0" borderId="0" xfId="0" applyNumberFormat="1" applyFont="1" applyBorder="1"/>
    <xf numFmtId="0" fontId="43" fillId="0" borderId="0" xfId="37" applyFont="1" applyBorder="1" applyAlignment="1">
      <alignment horizontal="left" vertical="center" wrapText="1"/>
    </xf>
    <xf numFmtId="0" fontId="23" fillId="2" borderId="16" xfId="0" applyFont="1" applyFill="1" applyBorder="1" applyAlignment="1" applyProtection="1">
      <alignment horizontal="center"/>
    </xf>
    <xf numFmtId="3" fontId="22" fillId="0" borderId="0" xfId="0" applyNumberFormat="1" applyFont="1" applyFill="1"/>
    <xf numFmtId="1" fontId="0" fillId="0" borderId="0" xfId="0" applyNumberFormat="1"/>
    <xf numFmtId="1" fontId="22" fillId="0" borderId="0" xfId="0" applyNumberFormat="1" applyFont="1"/>
    <xf numFmtId="1" fontId="27" fillId="0" borderId="0" xfId="0" applyNumberFormat="1" applyFont="1" applyAlignment="1">
      <alignment horizontal="right"/>
    </xf>
    <xf numFmtId="1" fontId="27" fillId="0" borderId="0" xfId="0" applyNumberFormat="1" applyFont="1"/>
    <xf numFmtId="1" fontId="32" fillId="0" borderId="0" xfId="37" applyNumberFormat="1" applyFont="1" applyAlignment="1">
      <alignment horizontal="right" vertical="center"/>
    </xf>
    <xf numFmtId="1" fontId="35" fillId="0" borderId="0" xfId="37" applyNumberFormat="1" applyFont="1" applyFill="1" applyBorder="1" applyAlignment="1">
      <alignment horizontal="right" vertical="center"/>
    </xf>
    <xf numFmtId="0" fontId="32" fillId="2" borderId="12" xfId="37" applyFont="1" applyFill="1" applyBorder="1" applyAlignment="1" applyProtection="1">
      <alignment horizontal="center" vertical="center"/>
    </xf>
    <xf numFmtId="0" fontId="32" fillId="0" borderId="4" xfId="0" applyFont="1" applyBorder="1" applyAlignment="1">
      <alignment horizontal="left" indent="1"/>
    </xf>
    <xf numFmtId="0" fontId="32" fillId="0" borderId="24" xfId="0" applyFont="1" applyFill="1" applyBorder="1" applyAlignment="1">
      <alignment horizontal="left" indent="1"/>
    </xf>
    <xf numFmtId="167" fontId="32" fillId="0" borderId="33" xfId="0" applyNumberFormat="1" applyFont="1" applyBorder="1" applyAlignment="1">
      <alignment horizontal="center" vertical="center"/>
    </xf>
    <xf numFmtId="167" fontId="32" fillId="0" borderId="33" xfId="0" applyNumberFormat="1" applyFont="1" applyFill="1" applyBorder="1" applyAlignment="1">
      <alignment horizontal="center" vertical="center"/>
    </xf>
    <xf numFmtId="167" fontId="32" fillId="0" borderId="37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indent="1"/>
    </xf>
    <xf numFmtId="3" fontId="32" fillId="0" borderId="33" xfId="27" applyNumberFormat="1" applyFont="1" applyFill="1" applyBorder="1" applyAlignment="1">
      <alignment horizontal="center" vertical="center"/>
    </xf>
    <xf numFmtId="3" fontId="32" fillId="0" borderId="37" xfId="27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indent="1"/>
    </xf>
    <xf numFmtId="3" fontId="32" fillId="0" borderId="33" xfId="27" applyNumberFormat="1" applyFont="1" applyFill="1" applyBorder="1" applyAlignment="1">
      <alignment horizontal="center"/>
    </xf>
    <xf numFmtId="3" fontId="32" fillId="0" borderId="32" xfId="27" applyNumberFormat="1" applyFont="1" applyFill="1" applyBorder="1" applyAlignment="1">
      <alignment horizontal="center"/>
    </xf>
    <xf numFmtId="3" fontId="35" fillId="0" borderId="37" xfId="27" applyNumberFormat="1" applyFont="1" applyFill="1" applyBorder="1" applyAlignment="1">
      <alignment horizontal="center" vertical="center"/>
    </xf>
    <xf numFmtId="0" fontId="32" fillId="0" borderId="0" xfId="37" applyFont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32" fillId="0" borderId="4" xfId="0" applyFont="1" applyFill="1" applyBorder="1" applyAlignment="1">
      <alignment horizontal="left" indent="1"/>
    </xf>
    <xf numFmtId="0" fontId="22" fillId="0" borderId="24" xfId="0" applyFont="1" applyFill="1" applyBorder="1" applyAlignment="1">
      <alignment horizontal="left" indent="1"/>
    </xf>
    <xf numFmtId="0" fontId="32" fillId="2" borderId="33" xfId="37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wrapText="1"/>
    </xf>
    <xf numFmtId="0" fontId="23" fillId="2" borderId="7" xfId="0" applyFont="1" applyFill="1" applyBorder="1" applyAlignment="1" applyProtection="1">
      <alignment horizontal="center" wrapText="1"/>
    </xf>
    <xf numFmtId="0" fontId="23" fillId="2" borderId="17" xfId="0" applyFont="1" applyFill="1" applyBorder="1" applyAlignment="1" applyProtection="1">
      <alignment horizontal="center" wrapText="1"/>
    </xf>
    <xf numFmtId="0" fontId="23" fillId="2" borderId="28" xfId="0" applyFont="1" applyFill="1" applyBorder="1" applyAlignment="1" applyProtection="1">
      <alignment horizontal="center" wrapText="1"/>
    </xf>
    <xf numFmtId="0" fontId="23" fillId="2" borderId="29" xfId="0" applyFont="1" applyFill="1" applyBorder="1" applyAlignment="1" applyProtection="1">
      <alignment horizontal="center" wrapText="1"/>
    </xf>
    <xf numFmtId="0" fontId="22" fillId="2" borderId="4" xfId="0" applyFont="1" applyFill="1" applyBorder="1" applyAlignment="1" applyProtection="1">
      <alignment horizontal="left" vertical="center" indent="1"/>
    </xf>
    <xf numFmtId="0" fontId="32" fillId="2" borderId="30" xfId="0" applyFont="1" applyFill="1" applyBorder="1" applyAlignment="1" applyProtection="1">
      <alignment horizontal="center" vertical="center"/>
    </xf>
    <xf numFmtId="0" fontId="32" fillId="2" borderId="32" xfId="0" applyFont="1" applyFill="1" applyBorder="1" applyAlignment="1" applyProtection="1">
      <alignment horizontal="center" vertical="center"/>
    </xf>
    <xf numFmtId="167" fontId="22" fillId="2" borderId="33" xfId="38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33" xfId="0" applyFont="1" applyFill="1" applyBorder="1" applyAlignment="1" applyProtection="1">
      <alignment horizontal="center" vertical="center"/>
    </xf>
    <xf numFmtId="0" fontId="23" fillId="2" borderId="14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left" vertical="center" indent="1"/>
    </xf>
    <xf numFmtId="0" fontId="22" fillId="2" borderId="32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3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0" fontId="32" fillId="2" borderId="16" xfId="0" applyFont="1" applyFill="1" applyBorder="1" applyAlignment="1" applyProtection="1">
      <alignment horizontal="center" vertical="center"/>
    </xf>
    <xf numFmtId="0" fontId="22" fillId="2" borderId="9" xfId="0" applyFont="1" applyFill="1" applyBorder="1" applyAlignment="1" applyProtection="1">
      <alignment horizontal="left" vertical="center" indent="1"/>
    </xf>
    <xf numFmtId="0" fontId="22" fillId="2" borderId="12" xfId="0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horizontal="left" vertical="center" indent="1"/>
    </xf>
    <xf numFmtId="0" fontId="22" fillId="2" borderId="35" xfId="0" applyFont="1" applyFill="1" applyBorder="1" applyAlignment="1" applyProtection="1">
      <alignment horizontal="left" vertical="center" indent="1"/>
    </xf>
    <xf numFmtId="0" fontId="22" fillId="2" borderId="19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23" fillId="2" borderId="25" xfId="0" applyFont="1" applyFill="1" applyBorder="1" applyAlignment="1" applyProtection="1">
      <alignment horizontal="center" vertical="center"/>
    </xf>
    <xf numFmtId="0" fontId="23" fillId="2" borderId="26" xfId="0" applyFont="1" applyFill="1" applyBorder="1" applyAlignment="1" applyProtection="1">
      <alignment horizontal="center" vertical="center"/>
    </xf>
    <xf numFmtId="0" fontId="22" fillId="2" borderId="17" xfId="0" applyFont="1" applyFill="1" applyBorder="1" applyAlignment="1" applyProtection="1">
      <alignment horizontal="left" vertical="center" indent="1"/>
    </xf>
    <xf numFmtId="0" fontId="32" fillId="2" borderId="14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left" vertical="center" indent="1"/>
    </xf>
    <xf numFmtId="0" fontId="0" fillId="0" borderId="0" xfId="0" applyBorder="1" applyAlignment="1">
      <alignment horizontal="center"/>
    </xf>
    <xf numFmtId="0" fontId="32" fillId="0" borderId="9" xfId="37" applyFont="1" applyBorder="1" applyAlignment="1">
      <alignment horizontal="left" vertical="center" indent="1"/>
    </xf>
    <xf numFmtId="0" fontId="32" fillId="0" borderId="4" xfId="37" applyFont="1" applyFill="1" applyBorder="1" applyAlignment="1">
      <alignment horizontal="left" vertical="center" wrapText="1" indent="1"/>
    </xf>
    <xf numFmtId="0" fontId="22" fillId="0" borderId="4" xfId="37" applyFont="1" applyBorder="1" applyAlignment="1">
      <alignment horizontal="left" vertical="center" wrapText="1" indent="1"/>
    </xf>
    <xf numFmtId="0" fontId="35" fillId="0" borderId="43" xfId="37" applyFont="1" applyBorder="1" applyAlignment="1">
      <alignment horizontal="left" vertical="center" wrapText="1" indent="1"/>
    </xf>
    <xf numFmtId="3" fontId="0" fillId="3" borderId="0" xfId="0" applyNumberFormat="1" applyFill="1"/>
    <xf numFmtId="164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47" xfId="0" applyBorder="1"/>
    <xf numFmtId="0" fontId="0" fillId="0" borderId="41" xfId="0" applyBorder="1"/>
    <xf numFmtId="0" fontId="0" fillId="0" borderId="42" xfId="0" applyBorder="1"/>
    <xf numFmtId="0" fontId="0" fillId="0" borderId="48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9" xfId="0" applyBorder="1"/>
    <xf numFmtId="1" fontId="0" fillId="0" borderId="35" xfId="0" applyNumberFormat="1" applyBorder="1" applyAlignment="1">
      <alignment horizontal="center"/>
    </xf>
    <xf numFmtId="0" fontId="0" fillId="0" borderId="23" xfId="0" applyBorder="1"/>
    <xf numFmtId="164" fontId="0" fillId="0" borderId="23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Alignment="1"/>
    <xf numFmtId="0" fontId="0" fillId="3" borderId="0" xfId="0" applyFill="1" applyBorder="1" applyAlignment="1"/>
    <xf numFmtId="0" fontId="0" fillId="2" borderId="0" xfId="0" applyFill="1"/>
    <xf numFmtId="0" fontId="3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48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 wrapText="1"/>
    </xf>
    <xf numFmtId="0" fontId="4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62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48" fillId="2" borderId="72" xfId="0" applyFont="1" applyFill="1" applyBorder="1" applyAlignment="1">
      <alignment vertical="center" wrapText="1"/>
    </xf>
    <xf numFmtId="0" fontId="26" fillId="2" borderId="60" xfId="0" applyFont="1" applyFill="1" applyBorder="1" applyAlignment="1">
      <alignment vertical="center" wrapText="1"/>
    </xf>
    <xf numFmtId="0" fontId="50" fillId="2" borderId="0" xfId="0" applyFont="1" applyFill="1" applyAlignment="1">
      <alignment vertical="center"/>
    </xf>
    <xf numFmtId="0" fontId="26" fillId="2" borderId="59" xfId="0" applyFont="1" applyFill="1" applyBorder="1" applyAlignment="1">
      <alignment vertical="center" wrapText="1"/>
    </xf>
    <xf numFmtId="0" fontId="26" fillId="2" borderId="60" xfId="0" applyFont="1" applyFill="1" applyBorder="1" applyAlignment="1">
      <alignment vertical="center" wrapText="1"/>
    </xf>
    <xf numFmtId="0" fontId="26" fillId="2" borderId="71" xfId="0" applyFont="1" applyFill="1" applyBorder="1" applyAlignment="1">
      <alignment horizontal="center" vertical="center" wrapText="1"/>
    </xf>
    <xf numFmtId="0" fontId="48" fillId="2" borderId="64" xfId="0" applyFont="1" applyFill="1" applyBorder="1" applyAlignment="1">
      <alignment horizontal="left" vertical="center" wrapText="1"/>
    </xf>
    <xf numFmtId="0" fontId="26" fillId="2" borderId="68" xfId="0" applyFont="1" applyFill="1" applyBorder="1" applyAlignment="1">
      <alignment horizontal="left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61" xfId="0" applyFont="1" applyFill="1" applyBorder="1" applyAlignment="1">
      <alignment vertical="center" wrapText="1"/>
    </xf>
    <xf numFmtId="0" fontId="26" fillId="2" borderId="62" xfId="0" applyFont="1" applyFill="1" applyBorder="1" applyAlignment="1">
      <alignment vertical="center" wrapText="1"/>
    </xf>
    <xf numFmtId="171" fontId="26" fillId="2" borderId="63" xfId="0" applyNumberFormat="1" applyFont="1" applyFill="1" applyBorder="1" applyAlignment="1">
      <alignment vertical="center" wrapText="1"/>
    </xf>
    <xf numFmtId="0" fontId="26" fillId="2" borderId="78" xfId="0" applyFont="1" applyFill="1" applyBorder="1" applyAlignment="1">
      <alignment vertical="center" wrapText="1"/>
    </xf>
    <xf numFmtId="170" fontId="26" fillId="2" borderId="79" xfId="0" applyNumberFormat="1" applyFont="1" applyFill="1" applyBorder="1" applyAlignment="1">
      <alignment vertical="center" wrapText="1"/>
    </xf>
    <xf numFmtId="170" fontId="26" fillId="2" borderId="80" xfId="0" applyNumberFormat="1" applyFont="1" applyFill="1" applyBorder="1" applyAlignment="1">
      <alignment horizontal="center" vertical="center" wrapText="1"/>
    </xf>
    <xf numFmtId="170" fontId="26" fillId="2" borderId="81" xfId="0" applyNumberFormat="1" applyFont="1" applyFill="1" applyBorder="1" applyAlignment="1">
      <alignment vertical="center" wrapText="1"/>
    </xf>
    <xf numFmtId="170" fontId="26" fillId="2" borderId="78" xfId="0" applyNumberFormat="1" applyFont="1" applyFill="1" applyBorder="1" applyAlignment="1">
      <alignment vertical="center" wrapText="1"/>
    </xf>
    <xf numFmtId="0" fontId="26" fillId="2" borderId="74" xfId="0" applyFont="1" applyFill="1" applyBorder="1" applyAlignment="1">
      <alignment vertical="center" wrapText="1"/>
    </xf>
    <xf numFmtId="0" fontId="26" fillId="2" borderId="75" xfId="0" applyFont="1" applyFill="1" applyBorder="1" applyAlignment="1">
      <alignment vertical="center" wrapText="1"/>
    </xf>
    <xf numFmtId="0" fontId="26" fillId="2" borderId="76" xfId="0" applyFont="1" applyFill="1" applyBorder="1" applyAlignment="1">
      <alignment horizontal="center" vertical="center" wrapText="1"/>
    </xf>
    <xf numFmtId="0" fontId="26" fillId="2" borderId="77" xfId="0" applyFont="1" applyFill="1" applyBorder="1" applyAlignment="1">
      <alignment vertical="center" wrapText="1"/>
    </xf>
    <xf numFmtId="0" fontId="26" fillId="2" borderId="60" xfId="0" applyFont="1" applyFill="1" applyBorder="1" applyAlignment="1">
      <alignment vertical="center" wrapText="1"/>
    </xf>
    <xf numFmtId="0" fontId="48" fillId="2" borderId="85" xfId="0" applyFont="1" applyFill="1" applyBorder="1" applyAlignment="1">
      <alignment vertical="center" wrapText="1"/>
    </xf>
    <xf numFmtId="0" fontId="26" fillId="2" borderId="76" xfId="0" applyFont="1" applyFill="1" applyBorder="1" applyAlignment="1">
      <alignment vertical="center" wrapText="1"/>
    </xf>
    <xf numFmtId="170" fontId="26" fillId="2" borderId="80" xfId="0" applyNumberFormat="1" applyFont="1" applyFill="1" applyBorder="1" applyAlignment="1">
      <alignment vertical="center" wrapText="1"/>
    </xf>
    <xf numFmtId="0" fontId="26" fillId="2" borderId="76" xfId="0" quotePrefix="1" applyFont="1" applyFill="1" applyBorder="1" applyAlignment="1">
      <alignment horizontal="center" vertical="center" wrapText="1"/>
    </xf>
    <xf numFmtId="0" fontId="26" fillId="2" borderId="87" xfId="0" applyFont="1" applyFill="1" applyBorder="1" applyAlignment="1">
      <alignment vertical="center" wrapText="1"/>
    </xf>
    <xf numFmtId="0" fontId="26" fillId="2" borderId="88" xfId="0" applyFont="1" applyFill="1" applyBorder="1" applyAlignment="1">
      <alignment horizontal="center" vertical="center" wrapText="1"/>
    </xf>
    <xf numFmtId="0" fontId="26" fillId="2" borderId="89" xfId="0" applyFont="1" applyFill="1" applyBorder="1" applyAlignment="1">
      <alignment vertical="center" wrapText="1"/>
    </xf>
    <xf numFmtId="0" fontId="26" fillId="2" borderId="88" xfId="0" applyFont="1" applyFill="1" applyBorder="1" applyAlignment="1">
      <alignment vertical="center" wrapText="1"/>
    </xf>
    <xf numFmtId="170" fontId="26" fillId="2" borderId="81" xfId="0" applyNumberFormat="1" applyFont="1" applyFill="1" applyBorder="1" applyAlignment="1">
      <alignment vertical="center" wrapText="1"/>
    </xf>
    <xf numFmtId="170" fontId="26" fillId="2" borderId="79" xfId="0" applyNumberFormat="1" applyFont="1" applyFill="1" applyBorder="1" applyAlignment="1">
      <alignment vertical="center" wrapText="1"/>
    </xf>
    <xf numFmtId="170" fontId="26" fillId="2" borderId="80" xfId="0" applyNumberFormat="1" applyFont="1" applyFill="1" applyBorder="1" applyAlignment="1">
      <alignment horizontal="center" vertical="center" wrapText="1"/>
    </xf>
    <xf numFmtId="171" fontId="26" fillId="2" borderId="62" xfId="0" applyNumberFormat="1" applyFont="1" applyFill="1" applyBorder="1" applyAlignment="1">
      <alignment vertical="center" wrapText="1"/>
    </xf>
    <xf numFmtId="171" fontId="26" fillId="2" borderId="0" xfId="0" applyNumberFormat="1" applyFont="1" applyFill="1" applyBorder="1" applyAlignment="1">
      <alignment vertical="center" wrapText="1"/>
    </xf>
    <xf numFmtId="0" fontId="50" fillId="2" borderId="0" xfId="0" applyFont="1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8" xfId="0" applyBorder="1" applyAlignment="1">
      <alignment horizontal="center"/>
    </xf>
    <xf numFmtId="2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2" xfId="0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0" fontId="0" fillId="0" borderId="12" xfId="0" applyBorder="1" applyAlignment="1">
      <alignment horizontal="right"/>
    </xf>
    <xf numFmtId="172" fontId="26" fillId="2" borderId="81" xfId="0" applyNumberFormat="1" applyFont="1" applyFill="1" applyBorder="1" applyAlignment="1">
      <alignment vertical="center" wrapText="1"/>
    </xf>
    <xf numFmtId="172" fontId="26" fillId="2" borderId="81" xfId="0" applyNumberFormat="1" applyFont="1" applyFill="1" applyBorder="1" applyAlignment="1">
      <alignment vertical="center" wrapText="1"/>
    </xf>
    <xf numFmtId="172" fontId="26" fillId="2" borderId="81" xfId="0" applyNumberFormat="1" applyFont="1" applyFill="1" applyBorder="1" applyAlignment="1">
      <alignment vertical="center" wrapText="1"/>
    </xf>
    <xf numFmtId="4" fontId="0" fillId="0" borderId="14" xfId="0" applyNumberFormat="1" applyBorder="1"/>
    <xf numFmtId="164" fontId="0" fillId="0" borderId="0" xfId="0" applyNumberFormat="1"/>
    <xf numFmtId="0" fontId="26" fillId="0" borderId="0" xfId="37" applyFont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/>
    </xf>
    <xf numFmtId="0" fontId="49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6" fillId="0" borderId="0" xfId="37" applyFont="1" applyAlignment="1">
      <alignment horizontal="left" vertical="center"/>
    </xf>
    <xf numFmtId="164" fontId="24" fillId="0" borderId="0" xfId="37" applyNumberFormat="1" applyFont="1" applyAlignment="1">
      <alignment vertical="center"/>
    </xf>
    <xf numFmtId="164" fontId="32" fillId="0" borderId="0" xfId="37" applyNumberFormat="1" applyFont="1" applyAlignment="1">
      <alignment vertical="center"/>
    </xf>
    <xf numFmtId="164" fontId="24" fillId="0" borderId="0" xfId="37" applyNumberFormat="1" applyFont="1" applyAlignment="1">
      <alignment horizontal="left" vertical="center"/>
    </xf>
    <xf numFmtId="2" fontId="22" fillId="0" borderId="14" xfId="37" applyNumberFormat="1" applyFont="1" applyBorder="1" applyAlignment="1">
      <alignment horizontal="center" vertical="center"/>
    </xf>
    <xf numFmtId="2" fontId="22" fillId="0" borderId="0" xfId="37" applyNumberFormat="1" applyFont="1" applyBorder="1" applyAlignment="1">
      <alignment horizontal="center" vertical="center"/>
    </xf>
    <xf numFmtId="2" fontId="22" fillId="0" borderId="5" xfId="37" applyNumberFormat="1" applyFont="1" applyBorder="1" applyAlignment="1">
      <alignment horizontal="center" vertical="center"/>
    </xf>
    <xf numFmtId="2" fontId="23" fillId="0" borderId="16" xfId="37" applyNumberFormat="1" applyFont="1" applyBorder="1" applyAlignment="1">
      <alignment horizontal="center" vertical="center"/>
    </xf>
    <xf numFmtId="2" fontId="23" fillId="0" borderId="8" xfId="37" applyNumberFormat="1" applyFont="1" applyBorder="1" applyAlignment="1">
      <alignment horizontal="center" vertical="center"/>
    </xf>
    <xf numFmtId="2" fontId="23" fillId="0" borderId="19" xfId="37" applyNumberFormat="1" applyFont="1" applyBorder="1" applyAlignment="1">
      <alignment horizontal="center" vertical="center"/>
    </xf>
    <xf numFmtId="2" fontId="23" fillId="0" borderId="23" xfId="37" applyNumberFormat="1" applyFont="1" applyBorder="1" applyAlignment="1">
      <alignment horizontal="center" vertical="center"/>
    </xf>
    <xf numFmtId="164" fontId="22" fillId="0" borderId="14" xfId="37" applyNumberFormat="1" applyFont="1" applyBorder="1" applyAlignment="1">
      <alignment horizontal="center" vertical="center"/>
    </xf>
    <xf numFmtId="164" fontId="22" fillId="0" borderId="11" xfId="37" applyNumberFormat="1" applyFont="1" applyBorder="1" applyAlignment="1">
      <alignment horizontal="center" vertical="center"/>
    </xf>
    <xf numFmtId="164" fontId="22" fillId="0" borderId="33" xfId="37" applyNumberFormat="1" applyFont="1" applyFill="1" applyBorder="1" applyAlignment="1">
      <alignment horizontal="center" vertical="center"/>
    </xf>
    <xf numFmtId="164" fontId="22" fillId="0" borderId="0" xfId="37" applyNumberFormat="1" applyFont="1" applyBorder="1" applyAlignment="1">
      <alignment horizontal="center" vertical="center"/>
    </xf>
    <xf numFmtId="164" fontId="22" fillId="0" borderId="5" xfId="37" applyNumberFormat="1" applyFont="1" applyBorder="1" applyAlignment="1">
      <alignment horizontal="center" vertical="center"/>
    </xf>
    <xf numFmtId="164" fontId="22" fillId="0" borderId="23" xfId="37" applyNumberFormat="1" applyFont="1" applyBorder="1" applyAlignment="1">
      <alignment horizontal="center" vertical="center"/>
    </xf>
    <xf numFmtId="170" fontId="26" fillId="2" borderId="79" xfId="0" applyNumberFormat="1" applyFont="1" applyFill="1" applyBorder="1" applyAlignment="1">
      <alignment vertical="center" wrapText="1"/>
    </xf>
    <xf numFmtId="170" fontId="26" fillId="2" borderId="80" xfId="0" applyNumberFormat="1" applyFont="1" applyFill="1" applyBorder="1" applyAlignment="1">
      <alignment horizontal="center" vertical="center" wrapText="1"/>
    </xf>
    <xf numFmtId="170" fontId="26" fillId="2" borderId="81" xfId="0" applyNumberFormat="1" applyFont="1" applyFill="1" applyBorder="1" applyAlignment="1">
      <alignment vertical="center" wrapText="1"/>
    </xf>
    <xf numFmtId="0" fontId="26" fillId="2" borderId="88" xfId="0" quotePrefix="1" applyFont="1" applyFill="1" applyBorder="1" applyAlignment="1">
      <alignment horizontal="center" vertical="center" wrapText="1"/>
    </xf>
    <xf numFmtId="170" fontId="26" fillId="2" borderId="79" xfId="0" applyNumberFormat="1" applyFont="1" applyFill="1" applyBorder="1" applyAlignment="1">
      <alignment vertical="center" wrapText="1"/>
    </xf>
    <xf numFmtId="170" fontId="26" fillId="2" borderId="80" xfId="0" applyNumberFormat="1" applyFont="1" applyFill="1" applyBorder="1" applyAlignment="1">
      <alignment horizontal="center" vertical="center" wrapText="1"/>
    </xf>
    <xf numFmtId="170" fontId="26" fillId="2" borderId="81" xfId="0" applyNumberFormat="1" applyFont="1" applyFill="1" applyBorder="1" applyAlignment="1">
      <alignment vertical="center" wrapText="1"/>
    </xf>
    <xf numFmtId="0" fontId="48" fillId="2" borderId="90" xfId="0" applyFont="1" applyFill="1" applyBorder="1" applyAlignment="1">
      <alignment vertical="center" wrapText="1"/>
    </xf>
    <xf numFmtId="0" fontId="48" fillId="2" borderId="91" xfId="0" applyFont="1" applyFill="1" applyBorder="1" applyAlignment="1">
      <alignment vertical="center" wrapText="1"/>
    </xf>
    <xf numFmtId="0" fontId="26" fillId="2" borderId="73" xfId="0" applyFont="1" applyFill="1" applyBorder="1" applyAlignment="1">
      <alignment vertical="center" wrapText="1"/>
    </xf>
    <xf numFmtId="0" fontId="26" fillId="2" borderId="92" xfId="0" applyFont="1" applyFill="1" applyBorder="1" applyAlignment="1">
      <alignment vertical="center" wrapText="1"/>
    </xf>
    <xf numFmtId="0" fontId="26" fillId="2" borderId="73" xfId="0" applyFont="1" applyFill="1" applyBorder="1" applyAlignment="1">
      <alignment horizontal="center" vertical="center" wrapText="1"/>
    </xf>
    <xf numFmtId="171" fontId="26" fillId="2" borderId="73" xfId="0" applyNumberFormat="1" applyFont="1" applyFill="1" applyBorder="1" applyAlignment="1">
      <alignment vertical="center" wrapText="1"/>
    </xf>
    <xf numFmtId="0" fontId="48" fillId="2" borderId="95" xfId="0" applyFont="1" applyFill="1" applyBorder="1" applyAlignment="1">
      <alignment vertical="center" wrapText="1"/>
    </xf>
    <xf numFmtId="0" fontId="32" fillId="0" borderId="0" xfId="0" applyFont="1"/>
    <xf numFmtId="0" fontId="35" fillId="0" borderId="0" xfId="0" applyFont="1"/>
    <xf numFmtId="173" fontId="35" fillId="0" borderId="0" xfId="0" applyNumberFormat="1" applyFont="1"/>
    <xf numFmtId="171" fontId="32" fillId="0" borderId="0" xfId="0" applyNumberFormat="1" applyFont="1"/>
    <xf numFmtId="173" fontId="32" fillId="0" borderId="0" xfId="0" applyNumberFormat="1" applyFont="1"/>
    <xf numFmtId="0" fontId="35" fillId="0" borderId="7" xfId="0" applyFont="1" applyBorder="1"/>
    <xf numFmtId="171" fontId="35" fillId="0" borderId="7" xfId="0" applyNumberFormat="1" applyFont="1" applyBorder="1"/>
    <xf numFmtId="0" fontId="32" fillId="0" borderId="7" xfId="0" applyFont="1" applyBorder="1"/>
    <xf numFmtId="164" fontId="0" fillId="0" borderId="11" xfId="0" applyNumberFormat="1" applyBorder="1" applyAlignment="1">
      <alignment horizontal="center"/>
    </xf>
    <xf numFmtId="0" fontId="35" fillId="0" borderId="0" xfId="0" applyFont="1" applyAlignment="1">
      <alignment horizontal="left" wrapText="1"/>
    </xf>
    <xf numFmtId="0" fontId="32" fillId="3" borderId="0" xfId="0" applyFont="1" applyFill="1"/>
    <xf numFmtId="0" fontId="35" fillId="3" borderId="0" xfId="0" applyFont="1" applyFill="1"/>
    <xf numFmtId="164" fontId="32" fillId="0" borderId="0" xfId="37" applyNumberFormat="1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2" fillId="2" borderId="9" xfId="37" applyFont="1" applyFill="1" applyBorder="1" applyAlignment="1">
      <alignment horizontal="left" vertical="center" indent="1"/>
    </xf>
    <xf numFmtId="169" fontId="32" fillId="2" borderId="33" xfId="37" applyNumberFormat="1" applyFont="1" applyFill="1" applyBorder="1" applyAlignment="1">
      <alignment horizontal="center" vertical="center"/>
    </xf>
    <xf numFmtId="169" fontId="32" fillId="2" borderId="12" xfId="37" applyNumberFormat="1" applyFont="1" applyFill="1" applyBorder="1" applyAlignment="1">
      <alignment horizontal="center" vertical="center"/>
    </xf>
    <xf numFmtId="169" fontId="32" fillId="2" borderId="10" xfId="37" applyNumberFormat="1" applyFont="1" applyFill="1" applyBorder="1" applyAlignment="1">
      <alignment horizontal="center" vertical="center"/>
    </xf>
    <xf numFmtId="169" fontId="32" fillId="2" borderId="11" xfId="37" applyNumberFormat="1" applyFont="1" applyFill="1" applyBorder="1" applyAlignment="1">
      <alignment horizontal="center" vertical="center"/>
    </xf>
    <xf numFmtId="0" fontId="32" fillId="2" borderId="4" xfId="37" applyFont="1" applyFill="1" applyBorder="1" applyAlignment="1">
      <alignment horizontal="left" vertical="center" wrapText="1" indent="1"/>
    </xf>
    <xf numFmtId="169" fontId="32" fillId="2" borderId="14" xfId="37" applyNumberFormat="1" applyFont="1" applyFill="1" applyBorder="1" applyAlignment="1">
      <alignment horizontal="center" vertical="center"/>
    </xf>
    <xf numFmtId="169" fontId="32" fillId="2" borderId="32" xfId="37" applyNumberFormat="1" applyFont="1" applyFill="1" applyBorder="1" applyAlignment="1">
      <alignment horizontal="center" vertical="center"/>
    </xf>
    <xf numFmtId="169" fontId="32" fillId="2" borderId="16" xfId="37" applyNumberFormat="1" applyFont="1" applyFill="1" applyBorder="1" applyAlignment="1">
      <alignment horizontal="center" vertical="center"/>
    </xf>
    <xf numFmtId="169" fontId="32" fillId="2" borderId="7" xfId="37" applyNumberFormat="1" applyFont="1" applyFill="1" applyBorder="1" applyAlignment="1">
      <alignment horizontal="center" vertical="center"/>
    </xf>
    <xf numFmtId="0" fontId="35" fillId="2" borderId="43" xfId="37" applyFont="1" applyFill="1" applyBorder="1" applyAlignment="1">
      <alignment horizontal="left" vertical="center" wrapText="1" indent="1"/>
    </xf>
    <xf numFmtId="169" fontId="35" fillId="2" borderId="44" xfId="37" applyNumberFormat="1" applyFont="1" applyFill="1" applyBorder="1" applyAlignment="1">
      <alignment horizontal="center" vertical="center"/>
    </xf>
    <xf numFmtId="169" fontId="35" fillId="2" borderId="21" xfId="37" applyNumberFormat="1" applyFont="1" applyFill="1" applyBorder="1" applyAlignment="1">
      <alignment horizontal="center" vertical="center"/>
    </xf>
    <xf numFmtId="169" fontId="35" fillId="2" borderId="46" xfId="37" applyNumberFormat="1" applyFont="1" applyFill="1" applyBorder="1" applyAlignment="1">
      <alignment horizontal="center" vertical="center"/>
    </xf>
    <xf numFmtId="169" fontId="35" fillId="4" borderId="21" xfId="37" applyNumberFormat="1" applyFont="1" applyFill="1" applyBorder="1" applyAlignment="1">
      <alignment horizontal="center" vertical="center"/>
    </xf>
    <xf numFmtId="169" fontId="35" fillId="4" borderId="45" xfId="37" applyNumberFormat="1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0" fontId="7" fillId="0" borderId="0" xfId="0" applyFont="1" applyFill="1"/>
    <xf numFmtId="9" fontId="7" fillId="4" borderId="0" xfId="0" quotePrefix="1" applyNumberFormat="1" applyFont="1" applyFill="1" applyAlignment="1">
      <alignment horizontal="left"/>
    </xf>
    <xf numFmtId="0" fontId="35" fillId="2" borderId="0" xfId="37" applyFont="1" applyFill="1" applyAlignment="1">
      <alignment vertical="center"/>
    </xf>
    <xf numFmtId="0" fontId="35" fillId="2" borderId="96" xfId="37" applyFont="1" applyFill="1" applyBorder="1" applyAlignment="1">
      <alignment horizontal="left" vertical="center" indent="1"/>
    </xf>
    <xf numFmtId="0" fontId="35" fillId="2" borderId="97" xfId="37" applyFont="1" applyFill="1" applyBorder="1" applyAlignment="1">
      <alignment horizontal="left" vertical="center" wrapText="1" indent="1"/>
    </xf>
    <xf numFmtId="0" fontId="35" fillId="2" borderId="42" xfId="37" applyFont="1" applyFill="1" applyBorder="1" applyAlignment="1">
      <alignment horizontal="left" vertical="center" wrapText="1" indent="1"/>
    </xf>
    <xf numFmtId="0" fontId="32" fillId="2" borderId="4" xfId="37" applyFont="1" applyFill="1" applyBorder="1" applyAlignment="1">
      <alignment horizontal="left" vertical="center" indent="1"/>
    </xf>
    <xf numFmtId="0" fontId="32" fillId="2" borderId="12" xfId="37" applyFont="1" applyFill="1" applyBorder="1" applyAlignment="1">
      <alignment horizontal="center" vertical="center"/>
    </xf>
    <xf numFmtId="0" fontId="32" fillId="2" borderId="11" xfId="37" applyFont="1" applyFill="1" applyBorder="1" applyAlignment="1">
      <alignment horizontal="center" vertical="center"/>
    </xf>
    <xf numFmtId="0" fontId="32" fillId="2" borderId="14" xfId="37" applyFont="1" applyFill="1" applyBorder="1" applyAlignment="1">
      <alignment horizontal="center" vertical="center" wrapText="1"/>
    </xf>
    <xf numFmtId="0" fontId="32" fillId="2" borderId="5" xfId="37" applyFont="1" applyFill="1" applyBorder="1" applyAlignment="1">
      <alignment horizontal="center" vertical="center" wrapText="1"/>
    </xf>
    <xf numFmtId="0" fontId="32" fillId="2" borderId="14" xfId="37" applyFont="1" applyFill="1" applyBorder="1" applyAlignment="1">
      <alignment horizontal="center" vertical="center"/>
    </xf>
    <xf numFmtId="0" fontId="32" fillId="2" borderId="5" xfId="37" applyFont="1" applyFill="1" applyBorder="1" applyAlignment="1">
      <alignment horizontal="center" vertical="center"/>
    </xf>
    <xf numFmtId="0" fontId="32" fillId="2" borderId="24" xfId="37" applyFont="1" applyFill="1" applyBorder="1" applyAlignment="1">
      <alignment horizontal="left" vertical="center" wrapText="1" indent="1"/>
    </xf>
    <xf numFmtId="0" fontId="32" fillId="2" borderId="19" xfId="37" applyFont="1" applyFill="1" applyBorder="1" applyAlignment="1">
      <alignment horizontal="center" vertical="center" wrapText="1"/>
    </xf>
    <xf numFmtId="0" fontId="32" fillId="2" borderId="23" xfId="37" applyFont="1" applyFill="1" applyBorder="1" applyAlignment="1">
      <alignment horizontal="center" vertical="center" wrapText="1"/>
    </xf>
    <xf numFmtId="0" fontId="32" fillId="2" borderId="0" xfId="37" applyFont="1" applyFill="1" applyBorder="1" applyAlignment="1">
      <alignment horizontal="center" vertical="center" wrapText="1"/>
    </xf>
    <xf numFmtId="0" fontId="32" fillId="0" borderId="0" xfId="37" applyFont="1" applyFill="1" applyBorder="1" applyAlignment="1">
      <alignment horizontal="center" vertical="center" wrapText="1"/>
    </xf>
    <xf numFmtId="3" fontId="32" fillId="2" borderId="7" xfId="27" applyNumberFormat="1" applyFont="1" applyFill="1" applyBorder="1" applyAlignment="1" applyProtection="1">
      <alignment horizontal="left" vertical="center"/>
    </xf>
    <xf numFmtId="3" fontId="32" fillId="2" borderId="10" xfId="27" applyNumberFormat="1" applyFont="1" applyFill="1" applyBorder="1" applyAlignment="1" applyProtection="1">
      <alignment horizontal="left" vertical="center"/>
    </xf>
    <xf numFmtId="3" fontId="32" fillId="2" borderId="0" xfId="27" applyNumberFormat="1" applyFont="1" applyFill="1" applyBorder="1" applyAlignment="1" applyProtection="1">
      <alignment horizontal="left" vertical="center"/>
    </xf>
    <xf numFmtId="3" fontId="22" fillId="2" borderId="11" xfId="38" applyNumberFormat="1" applyFont="1" applyFill="1" applyBorder="1" applyAlignment="1" applyProtection="1">
      <alignment horizontal="left"/>
    </xf>
    <xf numFmtId="3" fontId="32" fillId="4" borderId="2" xfId="27" applyNumberFormat="1" applyFont="1" applyFill="1" applyBorder="1" applyAlignment="1" applyProtection="1">
      <alignment horizontal="left" vertical="center"/>
      <protection locked="0"/>
    </xf>
    <xf numFmtId="4" fontId="32" fillId="4" borderId="0" xfId="27" applyNumberFormat="1" applyFont="1" applyFill="1" applyBorder="1" applyAlignment="1" applyProtection="1">
      <alignment horizontal="left" vertical="center"/>
      <protection locked="0"/>
    </xf>
    <xf numFmtId="1" fontId="32" fillId="4" borderId="0" xfId="27" applyNumberFormat="1" applyFont="1" applyFill="1" applyBorder="1" applyAlignment="1" applyProtection="1">
      <alignment horizontal="left" vertical="center"/>
      <protection locked="0"/>
    </xf>
    <xf numFmtId="1" fontId="32" fillId="4" borderId="2" xfId="27" applyNumberFormat="1" applyFont="1" applyFill="1" applyBorder="1" applyAlignment="1" applyProtection="1">
      <alignment horizontal="left" vertical="center"/>
      <protection locked="0"/>
    </xf>
    <xf numFmtId="2" fontId="32" fillId="4" borderId="0" xfId="27" applyNumberFormat="1" applyFont="1" applyFill="1" applyBorder="1" applyAlignment="1" applyProtection="1">
      <alignment horizontal="left" vertical="center"/>
      <protection locked="0"/>
    </xf>
    <xf numFmtId="3" fontId="32" fillId="4" borderId="7" xfId="27" applyNumberFormat="1" applyFont="1" applyFill="1" applyBorder="1" applyAlignment="1" applyProtection="1">
      <alignment horizontal="left" vertical="center"/>
      <protection locked="0"/>
    </xf>
    <xf numFmtId="2" fontId="32" fillId="4" borderId="3" xfId="27" applyNumberFormat="1" applyFont="1" applyFill="1" applyBorder="1" applyAlignment="1" applyProtection="1">
      <alignment horizontal="left" vertical="center"/>
      <protection locked="0"/>
    </xf>
    <xf numFmtId="2" fontId="32" fillId="4" borderId="5" xfId="27" applyNumberFormat="1" applyFont="1" applyFill="1" applyBorder="1" applyAlignment="1" applyProtection="1">
      <alignment horizontal="left" vertical="center"/>
      <protection locked="0"/>
    </xf>
    <xf numFmtId="2" fontId="32" fillId="4" borderId="8" xfId="27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96" xfId="0" applyBorder="1"/>
    <xf numFmtId="0" fontId="0" fillId="0" borderId="97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49" xfId="0" applyFill="1" applyBorder="1"/>
    <xf numFmtId="1" fontId="0" fillId="0" borderId="19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41" fontId="35" fillId="2" borderId="15" xfId="27" applyNumberFormat="1" applyFont="1" applyFill="1" applyBorder="1" applyAlignment="1" applyProtection="1">
      <alignment horizontal="center" vertical="center" wrapText="1"/>
    </xf>
    <xf numFmtId="41" fontId="35" fillId="2" borderId="0" xfId="27" applyNumberFormat="1" applyFont="1" applyFill="1" applyBorder="1" applyAlignment="1" applyProtection="1">
      <alignment horizontal="center" vertical="center" wrapText="1"/>
    </xf>
    <xf numFmtId="41" fontId="35" fillId="2" borderId="5" xfId="27" applyNumberFormat="1" applyFont="1" applyFill="1" applyBorder="1" applyAlignment="1" applyProtection="1">
      <alignment horizontal="center" vertical="center" wrapText="1"/>
    </xf>
    <xf numFmtId="49" fontId="35" fillId="2" borderId="0" xfId="27" applyNumberFormat="1" applyFont="1" applyFill="1" applyBorder="1" applyAlignment="1" applyProtection="1">
      <alignment horizontal="center" vertical="center" wrapText="1"/>
    </xf>
    <xf numFmtId="0" fontId="26" fillId="2" borderId="98" xfId="0" applyFont="1" applyFill="1" applyBorder="1" applyAlignment="1">
      <alignment vertical="center"/>
    </xf>
    <xf numFmtId="0" fontId="0" fillId="0" borderId="40" xfId="0" applyFill="1" applyBorder="1"/>
    <xf numFmtId="3" fontId="29" fillId="0" borderId="40" xfId="38" applyNumberFormat="1" applyFont="1" applyFill="1" applyBorder="1" applyAlignment="1">
      <alignment horizontal="right"/>
    </xf>
    <xf numFmtId="3" fontId="29" fillId="0" borderId="40" xfId="38" applyNumberFormat="1" applyFont="1" applyBorder="1" applyAlignment="1">
      <alignment horizontal="center"/>
    </xf>
    <xf numFmtId="3" fontId="29" fillId="0" borderId="40" xfId="38" applyNumberFormat="1" applyFont="1" applyFill="1" applyBorder="1" applyAlignment="1">
      <alignment horizontal="center"/>
    </xf>
    <xf numFmtId="1" fontId="0" fillId="0" borderId="38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center"/>
    </xf>
    <xf numFmtId="0" fontId="53" fillId="0" borderId="0" xfId="37" applyFont="1" applyAlignment="1">
      <alignment vertical="center"/>
    </xf>
    <xf numFmtId="0" fontId="53" fillId="0" borderId="0" xfId="0" applyFont="1"/>
    <xf numFmtId="3" fontId="35" fillId="0" borderId="0" xfId="27" applyNumberFormat="1" applyFont="1" applyFill="1" applyBorder="1" applyAlignment="1">
      <alignment horizontal="center" vertical="center"/>
    </xf>
    <xf numFmtId="0" fontId="22" fillId="27" borderId="7" xfId="0" applyFont="1" applyFill="1" applyBorder="1" applyAlignment="1" applyProtection="1">
      <alignment horizontal="center" vertical="center"/>
    </xf>
    <xf numFmtId="0" fontId="22" fillId="27" borderId="0" xfId="0" applyFont="1" applyFill="1" applyBorder="1" applyAlignment="1" applyProtection="1">
      <alignment horizontal="center" vertical="center"/>
    </xf>
    <xf numFmtId="0" fontId="22" fillId="27" borderId="15" xfId="0" applyFont="1" applyFill="1" applyBorder="1" applyAlignment="1" applyProtection="1">
      <alignment horizontal="center" vertical="center"/>
    </xf>
    <xf numFmtId="164" fontId="22" fillId="27" borderId="14" xfId="0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0" fontId="23" fillId="27" borderId="16" xfId="0" applyFont="1" applyFill="1" applyBorder="1" applyAlignment="1" applyProtection="1">
      <alignment horizontal="center" vertical="center"/>
    </xf>
    <xf numFmtId="0" fontId="22" fillId="27" borderId="14" xfId="0" applyFont="1" applyFill="1" applyBorder="1" applyAlignment="1" applyProtection="1">
      <alignment horizontal="center" vertical="center"/>
    </xf>
    <xf numFmtId="0" fontId="22" fillId="27" borderId="0" xfId="0" applyFont="1" applyFill="1" applyAlignment="1" applyProtection="1">
      <alignment horizontal="center" vertical="center"/>
    </xf>
    <xf numFmtId="2" fontId="22" fillId="27" borderId="0" xfId="37" applyNumberFormat="1" applyFont="1" applyFill="1" applyBorder="1" applyAlignment="1" applyProtection="1">
      <alignment horizontal="center" vertical="center"/>
    </xf>
    <xf numFmtId="0" fontId="22" fillId="27" borderId="16" xfId="0" applyFont="1" applyFill="1" applyBorder="1" applyAlignment="1" applyProtection="1">
      <alignment horizontal="center" vertical="center"/>
    </xf>
    <xf numFmtId="2" fontId="22" fillId="27" borderId="7" xfId="37" applyNumberFormat="1" applyFont="1" applyFill="1" applyBorder="1" applyAlignment="1" applyProtection="1">
      <alignment horizontal="center" vertical="center"/>
    </xf>
    <xf numFmtId="0" fontId="22" fillId="27" borderId="17" xfId="0" applyFont="1" applyFill="1" applyBorder="1" applyAlignment="1" applyProtection="1">
      <alignment horizontal="center" vertical="center"/>
    </xf>
    <xf numFmtId="0" fontId="22" fillId="27" borderId="12" xfId="0" applyFont="1" applyFill="1" applyBorder="1" applyAlignment="1" applyProtection="1">
      <alignment horizontal="center" vertical="center"/>
    </xf>
    <xf numFmtId="0" fontId="32" fillId="27" borderId="10" xfId="0" applyFont="1" applyFill="1" applyBorder="1" applyAlignment="1" applyProtection="1">
      <alignment horizontal="center" vertical="center"/>
    </xf>
    <xf numFmtId="0" fontId="22" fillId="27" borderId="10" xfId="0" applyFont="1" applyFill="1" applyBorder="1" applyAlignment="1" applyProtection="1">
      <alignment horizontal="center" vertical="center"/>
    </xf>
    <xf numFmtId="2" fontId="22" fillId="27" borderId="15" xfId="0" applyNumberFormat="1" applyFont="1" applyFill="1" applyBorder="1" applyAlignment="1" applyProtection="1">
      <alignment horizontal="center" vertical="center"/>
    </xf>
    <xf numFmtId="2" fontId="32" fillId="27" borderId="0" xfId="37" applyNumberFormat="1" applyFont="1" applyFill="1" applyBorder="1" applyAlignment="1" applyProtection="1">
      <alignment horizontal="center" vertical="center"/>
    </xf>
    <xf numFmtId="164" fontId="22" fillId="27" borderId="7" xfId="0" applyNumberFormat="1" applyFont="1" applyFill="1" applyBorder="1" applyAlignment="1" applyProtection="1">
      <alignment horizontal="center" vertical="center"/>
    </xf>
    <xf numFmtId="0" fontId="22" fillId="27" borderId="13" xfId="0" applyFont="1" applyFill="1" applyBorder="1" applyAlignment="1" applyProtection="1">
      <alignment horizontal="center" vertical="center"/>
    </xf>
    <xf numFmtId="0" fontId="22" fillId="27" borderId="35" xfId="0" applyFont="1" applyFill="1" applyBorder="1" applyAlignment="1" applyProtection="1">
      <alignment horizontal="center" vertical="center"/>
    </xf>
    <xf numFmtId="0" fontId="22" fillId="27" borderId="22" xfId="0" applyFont="1" applyFill="1" applyBorder="1" applyAlignment="1" applyProtection="1">
      <alignment horizontal="center" vertical="center"/>
    </xf>
    <xf numFmtId="41" fontId="35" fillId="2" borderId="14" xfId="27" applyNumberFormat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</xf>
    <xf numFmtId="0" fontId="23" fillId="2" borderId="25" xfId="0" applyFont="1" applyFill="1" applyBorder="1" applyAlignment="1" applyProtection="1">
      <alignment horizontal="center"/>
    </xf>
    <xf numFmtId="41" fontId="23" fillId="2" borderId="0" xfId="27" applyNumberFormat="1" applyFont="1" applyFill="1" applyBorder="1" applyAlignment="1" applyProtection="1">
      <alignment horizontal="center" vertical="center"/>
    </xf>
    <xf numFmtId="1" fontId="32" fillId="27" borderId="0" xfId="27" applyNumberFormat="1" applyFont="1" applyFill="1" applyBorder="1" applyAlignment="1" applyProtection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167" fontId="32" fillId="0" borderId="5" xfId="0" applyNumberFormat="1" applyFont="1" applyBorder="1" applyAlignment="1">
      <alignment horizontal="center" vertical="center"/>
    </xf>
    <xf numFmtId="3" fontId="32" fillId="0" borderId="4" xfId="27" applyNumberFormat="1" applyFont="1" applyFill="1" applyBorder="1" applyAlignment="1">
      <alignment horizontal="center"/>
    </xf>
    <xf numFmtId="3" fontId="32" fillId="0" borderId="6" xfId="27" applyNumberFormat="1" applyFont="1" applyFill="1" applyBorder="1" applyAlignment="1">
      <alignment horizontal="center"/>
    </xf>
    <xf numFmtId="3" fontId="35" fillId="0" borderId="24" xfId="27" applyNumberFormat="1" applyFont="1" applyFill="1" applyBorder="1" applyAlignment="1">
      <alignment horizontal="center" vertical="center"/>
    </xf>
    <xf numFmtId="3" fontId="32" fillId="0" borderId="4" xfId="27" applyNumberFormat="1" applyFont="1" applyFill="1" applyBorder="1" applyAlignment="1">
      <alignment horizontal="center" vertical="center"/>
    </xf>
    <xf numFmtId="3" fontId="32" fillId="0" borderId="24" xfId="27" applyNumberFormat="1" applyFont="1" applyFill="1" applyBorder="1" applyAlignment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/>
    </xf>
    <xf numFmtId="167" fontId="32" fillId="0" borderId="24" xfId="0" applyNumberFormat="1" applyFont="1" applyFill="1" applyBorder="1" applyAlignment="1">
      <alignment horizontal="center" vertical="center"/>
    </xf>
    <xf numFmtId="169" fontId="32" fillId="0" borderId="9" xfId="37" applyNumberFormat="1" applyFont="1" applyBorder="1" applyAlignment="1">
      <alignment horizontal="center" vertical="center"/>
    </xf>
    <xf numFmtId="169" fontId="32" fillId="2" borderId="4" xfId="37" applyNumberFormat="1" applyFont="1" applyFill="1" applyBorder="1" applyAlignment="1">
      <alignment horizontal="center" vertical="center"/>
    </xf>
    <xf numFmtId="169" fontId="32" fillId="0" borderId="4" xfId="37" applyNumberFormat="1" applyFont="1" applyBorder="1" applyAlignment="1">
      <alignment horizontal="center" vertical="center"/>
    </xf>
    <xf numFmtId="169" fontId="32" fillId="0" borderId="4" xfId="37" applyNumberFormat="1" applyFont="1" applyFill="1" applyBorder="1" applyAlignment="1">
      <alignment horizontal="center" vertical="center"/>
    </xf>
    <xf numFmtId="169" fontId="32" fillId="0" borderId="6" xfId="37" applyNumberFormat="1" applyFont="1" applyFill="1" applyBorder="1" applyAlignment="1">
      <alignment horizontal="center" vertical="center"/>
    </xf>
    <xf numFmtId="169" fontId="35" fillId="0" borderId="43" xfId="37" applyNumberFormat="1" applyFont="1" applyBorder="1" applyAlignment="1">
      <alignment horizontal="center" vertical="center"/>
    </xf>
    <xf numFmtId="164" fontId="22" fillId="0" borderId="4" xfId="37" applyNumberFormat="1" applyFont="1" applyBorder="1" applyAlignment="1">
      <alignment horizontal="center" vertical="center"/>
    </xf>
    <xf numFmtId="164" fontId="22" fillId="0" borderId="24" xfId="37" applyNumberFormat="1" applyFont="1" applyBorder="1" applyAlignment="1">
      <alignment horizontal="center" vertical="center"/>
    </xf>
    <xf numFmtId="2" fontId="22" fillId="0" borderId="4" xfId="37" applyNumberFormat="1" applyFont="1" applyBorder="1" applyAlignment="1">
      <alignment horizontal="center" vertical="center"/>
    </xf>
    <xf numFmtId="2" fontId="23" fillId="0" borderId="6" xfId="37" applyNumberFormat="1" applyFont="1" applyBorder="1" applyAlignment="1">
      <alignment horizontal="center" vertical="center"/>
    </xf>
    <xf numFmtId="2" fontId="23" fillId="0" borderId="24" xfId="37" applyNumberFormat="1" applyFont="1" applyBorder="1" applyAlignment="1">
      <alignment horizontal="center" vertical="center"/>
    </xf>
    <xf numFmtId="169" fontId="35" fillId="0" borderId="0" xfId="37" applyNumberFormat="1" applyFont="1" applyBorder="1" applyAlignment="1">
      <alignment horizontal="center" vertical="center"/>
    </xf>
    <xf numFmtId="0" fontId="26" fillId="0" borderId="0" xfId="37" applyFont="1" applyBorder="1" applyAlignment="1">
      <alignment vertical="center"/>
    </xf>
    <xf numFmtId="2" fontId="23" fillId="0" borderId="0" xfId="37" applyNumberFormat="1" applyFont="1" applyBorder="1" applyAlignment="1">
      <alignment horizontal="center" vertical="center"/>
    </xf>
    <xf numFmtId="0" fontId="55" fillId="2" borderId="31" xfId="0" applyFont="1" applyFill="1" applyBorder="1" applyAlignment="1" applyProtection="1">
      <alignment horizontal="left" vertical="center" wrapText="1"/>
    </xf>
    <xf numFmtId="0" fontId="55" fillId="2" borderId="29" xfId="0" applyFont="1" applyFill="1" applyBorder="1" applyAlignment="1" applyProtection="1">
      <alignment horizontal="left" vertical="center" wrapText="1"/>
    </xf>
    <xf numFmtId="164" fontId="22" fillId="27" borderId="0" xfId="0" applyNumberFormat="1" applyFont="1" applyFill="1" applyBorder="1" applyAlignment="1" applyProtection="1">
      <alignment horizontal="center" vertical="center"/>
    </xf>
    <xf numFmtId="0" fontId="26" fillId="2" borderId="34" xfId="37" applyFont="1" applyFill="1" applyBorder="1" applyAlignment="1" applyProtection="1">
      <alignment horizontal="left" vertical="center" wrapText="1"/>
    </xf>
    <xf numFmtId="0" fontId="26" fillId="2" borderId="29" xfId="37" applyFont="1" applyFill="1" applyBorder="1" applyAlignment="1" applyProtection="1">
      <alignment horizontal="left" vertical="center" wrapText="1"/>
    </xf>
    <xf numFmtId="2" fontId="22" fillId="27" borderId="0" xfId="38" applyNumberFormat="1" applyFont="1" applyFill="1" applyBorder="1" applyAlignment="1" applyProtection="1">
      <alignment horizontal="center" vertical="center"/>
    </xf>
    <xf numFmtId="167" fontId="32" fillId="27" borderId="15" xfId="38" applyNumberFormat="1" applyFont="1" applyFill="1" applyBorder="1" applyAlignment="1" applyProtection="1">
      <alignment horizontal="center" vertical="center"/>
    </xf>
    <xf numFmtId="167" fontId="32" fillId="27" borderId="17" xfId="38" applyNumberFormat="1" applyFont="1" applyFill="1" applyBorder="1" applyAlignment="1" applyProtection="1">
      <alignment horizontal="center" vertical="center"/>
    </xf>
    <xf numFmtId="0" fontId="26" fillId="2" borderId="5" xfId="37" applyFont="1" applyFill="1" applyBorder="1" applyAlignment="1" applyProtection="1">
      <alignment horizontal="left" vertical="center" wrapText="1"/>
    </xf>
    <xf numFmtId="0" fontId="57" fillId="2" borderId="28" xfId="0" applyFont="1" applyFill="1" applyBorder="1" applyAlignment="1" applyProtection="1">
      <alignment horizontal="center" vertical="center" wrapText="1"/>
    </xf>
    <xf numFmtId="0" fontId="23" fillId="27" borderId="7" xfId="0" applyFont="1" applyFill="1" applyBorder="1" applyAlignment="1" applyProtection="1">
      <alignment horizontal="center" vertical="center"/>
    </xf>
    <xf numFmtId="0" fontId="23" fillId="27" borderId="17" xfId="0" applyFont="1" applyFill="1" applyBorder="1" applyAlignment="1" applyProtection="1">
      <alignment horizontal="center" vertical="center"/>
    </xf>
    <xf numFmtId="0" fontId="57" fillId="2" borderId="29" xfId="0" applyFont="1" applyFill="1" applyBorder="1" applyAlignment="1" applyProtection="1">
      <alignment horizontal="center" vertical="center" wrapText="1"/>
    </xf>
    <xf numFmtId="0" fontId="26" fillId="2" borderId="31" xfId="37" applyFont="1" applyFill="1" applyBorder="1" applyAlignment="1" applyProtection="1">
      <alignment horizontal="left" vertical="center" wrapText="1"/>
    </xf>
    <xf numFmtId="0" fontId="26" fillId="2" borderId="34" xfId="37" applyFont="1" applyFill="1" applyBorder="1" applyAlignment="1" applyProtection="1">
      <alignment vertical="center" wrapText="1"/>
    </xf>
    <xf numFmtId="0" fontId="26" fillId="2" borderId="36" xfId="37" applyFont="1" applyFill="1" applyBorder="1" applyAlignment="1" applyProtection="1">
      <alignment horizontal="left" vertical="center" wrapText="1"/>
    </xf>
    <xf numFmtId="164" fontId="22" fillId="4" borderId="0" xfId="0" applyNumberFormat="1" applyFont="1" applyFill="1" applyBorder="1" applyAlignment="1" applyProtection="1">
      <alignment horizontal="center"/>
    </xf>
    <xf numFmtId="0" fontId="22" fillId="2" borderId="14" xfId="0" applyFont="1" applyFill="1" applyBorder="1" applyAlignment="1" applyProtection="1">
      <alignment horizontal="left"/>
    </xf>
    <xf numFmtId="164" fontId="22" fillId="4" borderId="35" xfId="0" applyNumberFormat="1" applyFont="1" applyFill="1" applyBorder="1" applyAlignment="1" applyProtection="1">
      <alignment horizontal="center"/>
    </xf>
    <xf numFmtId="0" fontId="22" fillId="2" borderId="19" xfId="0" applyFont="1" applyFill="1" applyBorder="1" applyAlignment="1" applyProtection="1">
      <alignment horizontal="left"/>
    </xf>
    <xf numFmtId="0" fontId="22" fillId="28" borderId="0" xfId="0" applyFont="1" applyFill="1" applyAlignment="1" applyProtection="1">
      <alignment horizontal="center" vertical="center"/>
      <protection locked="0"/>
    </xf>
    <xf numFmtId="0" fontId="22" fillId="28" borderId="0" xfId="0" applyFont="1" applyFill="1" applyBorder="1" applyAlignment="1" applyProtection="1">
      <alignment horizontal="center" vertical="center"/>
      <protection locked="0"/>
    </xf>
    <xf numFmtId="0" fontId="22" fillId="28" borderId="15" xfId="0" applyFont="1" applyFill="1" applyBorder="1" applyAlignment="1" applyProtection="1">
      <alignment horizontal="center" vertical="center"/>
      <protection locked="0"/>
    </xf>
    <xf numFmtId="0" fontId="22" fillId="28" borderId="17" xfId="0" applyFont="1" applyFill="1" applyBorder="1" applyAlignment="1" applyProtection="1">
      <alignment horizontal="center" vertical="center"/>
      <protection locked="0"/>
    </xf>
    <xf numFmtId="167" fontId="22" fillId="28" borderId="0" xfId="38" applyNumberFormat="1" applyFont="1" applyFill="1" applyBorder="1" applyAlignment="1" applyProtection="1">
      <alignment horizontal="center" vertical="center"/>
      <protection locked="0"/>
    </xf>
    <xf numFmtId="164" fontId="22" fillId="28" borderId="14" xfId="0" applyNumberFormat="1" applyFont="1" applyFill="1" applyBorder="1" applyAlignment="1" applyProtection="1">
      <alignment horizontal="center" vertical="center"/>
      <protection locked="0"/>
    </xf>
    <xf numFmtId="164" fontId="22" fillId="28" borderId="0" xfId="0" applyNumberFormat="1" applyFont="1" applyFill="1" applyBorder="1" applyAlignment="1" applyProtection="1">
      <alignment horizontal="center" vertical="center"/>
      <protection locked="0"/>
    </xf>
    <xf numFmtId="0" fontId="22" fillId="28" borderId="15" xfId="38" applyFont="1" applyFill="1" applyBorder="1" applyAlignment="1" applyProtection="1">
      <alignment horizontal="center" vertical="center"/>
      <protection locked="0"/>
    </xf>
    <xf numFmtId="0" fontId="22" fillId="28" borderId="0" xfId="38" applyFont="1" applyFill="1" applyBorder="1" applyAlignment="1" applyProtection="1">
      <alignment horizontal="center" vertical="center"/>
      <protection locked="0"/>
    </xf>
    <xf numFmtId="164" fontId="22" fillId="28" borderId="17" xfId="0" applyNumberFormat="1" applyFont="1" applyFill="1" applyBorder="1" applyAlignment="1" applyProtection="1">
      <alignment horizontal="center" vertical="center"/>
      <protection locked="0"/>
    </xf>
    <xf numFmtId="2" fontId="22" fillId="28" borderId="0" xfId="38" applyNumberFormat="1" applyFont="1" applyFill="1" applyBorder="1" applyAlignment="1" applyProtection="1">
      <alignment horizontal="center" vertical="center"/>
      <protection locked="0"/>
    </xf>
    <xf numFmtId="2" fontId="22" fillId="28" borderId="15" xfId="0" applyNumberFormat="1" applyFont="1" applyFill="1" applyBorder="1" applyAlignment="1" applyProtection="1">
      <alignment horizontal="center" vertical="center"/>
      <protection locked="0"/>
    </xf>
    <xf numFmtId="0" fontId="22" fillId="28" borderId="7" xfId="0" applyFont="1" applyFill="1" applyBorder="1" applyAlignment="1" applyProtection="1">
      <alignment horizontal="center" vertical="center"/>
      <protection locked="0"/>
    </xf>
    <xf numFmtId="4" fontId="22" fillId="28" borderId="14" xfId="38" applyNumberFormat="1" applyFont="1" applyFill="1" applyBorder="1" applyAlignment="1" applyProtection="1">
      <alignment horizontal="center" vertical="center"/>
      <protection locked="0"/>
    </xf>
    <xf numFmtId="0" fontId="22" fillId="28" borderId="14" xfId="0" applyFont="1" applyFill="1" applyBorder="1" applyAlignment="1" applyProtection="1">
      <alignment horizontal="center" vertical="center"/>
      <protection locked="0"/>
    </xf>
    <xf numFmtId="0" fontId="22" fillId="28" borderId="13" xfId="0" applyFont="1" applyFill="1" applyBorder="1" applyAlignment="1" applyProtection="1">
      <alignment horizontal="center" vertical="center"/>
      <protection locked="0"/>
    </xf>
    <xf numFmtId="2" fontId="32" fillId="28" borderId="15" xfId="0" applyNumberFormat="1" applyFont="1" applyFill="1" applyBorder="1" applyAlignment="1" applyProtection="1">
      <alignment horizontal="center" vertical="center"/>
      <protection locked="0"/>
    </xf>
    <xf numFmtId="1" fontId="32" fillId="28" borderId="14" xfId="38" applyNumberFormat="1" applyFont="1" applyFill="1" applyBorder="1" applyAlignment="1" applyProtection="1">
      <alignment horizontal="center" vertical="center"/>
      <protection locked="0"/>
    </xf>
    <xf numFmtId="167" fontId="32" fillId="28" borderId="0" xfId="38" applyNumberFormat="1" applyFont="1" applyFill="1" applyBorder="1" applyAlignment="1" applyProtection="1">
      <alignment horizontal="center" vertical="center"/>
      <protection locked="0"/>
    </xf>
    <xf numFmtId="0" fontId="22" fillId="28" borderId="7" xfId="38" applyFont="1" applyFill="1" applyBorder="1" applyAlignment="1" applyProtection="1">
      <alignment horizontal="center" vertical="center"/>
      <protection locked="0"/>
    </xf>
    <xf numFmtId="2" fontId="22" fillId="28" borderId="7" xfId="38" applyNumberFormat="1" applyFont="1" applyFill="1" applyBorder="1" applyAlignment="1" applyProtection="1">
      <alignment horizontal="center" vertical="center"/>
      <protection locked="0"/>
    </xf>
    <xf numFmtId="2" fontId="22" fillId="28" borderId="7" xfId="0" applyNumberFormat="1" applyFont="1" applyFill="1" applyBorder="1" applyAlignment="1" applyProtection="1">
      <alignment horizontal="center" vertical="center"/>
      <protection locked="0"/>
    </xf>
    <xf numFmtId="164" fontId="22" fillId="28" borderId="0" xfId="38" applyNumberFormat="1" applyFont="1" applyFill="1" applyBorder="1" applyAlignment="1" applyProtection="1">
      <alignment horizontal="center" vertical="center"/>
      <protection locked="0"/>
    </xf>
    <xf numFmtId="164" fontId="22" fillId="28" borderId="13" xfId="0" applyNumberFormat="1" applyFont="1" applyFill="1" applyBorder="1" applyAlignment="1" applyProtection="1">
      <alignment horizontal="center" vertical="center"/>
      <protection locked="0"/>
    </xf>
    <xf numFmtId="2" fontId="22" fillId="28" borderId="17" xfId="38" applyNumberFormat="1" applyFont="1" applyFill="1" applyBorder="1" applyAlignment="1" applyProtection="1">
      <alignment horizontal="center" vertical="center"/>
      <protection locked="0"/>
    </xf>
    <xf numFmtId="166" fontId="22" fillId="28" borderId="0" xfId="37" applyNumberFormat="1" applyFont="1" applyFill="1" applyBorder="1" applyAlignment="1" applyProtection="1">
      <alignment horizontal="center" vertical="center"/>
      <protection locked="0"/>
    </xf>
    <xf numFmtId="2" fontId="32" fillId="28" borderId="14" xfId="35" applyNumberFormat="1" applyFont="1" applyFill="1" applyBorder="1" applyAlignment="1" applyProtection="1">
      <alignment horizontal="center" vertical="center"/>
      <protection locked="0"/>
    </xf>
    <xf numFmtId="2" fontId="32" fillId="28" borderId="16" xfId="35" applyNumberFormat="1" applyFont="1" applyFill="1" applyBorder="1" applyAlignment="1" applyProtection="1">
      <alignment horizontal="center" vertical="center"/>
      <protection locked="0"/>
    </xf>
    <xf numFmtId="166" fontId="22" fillId="28" borderId="12" xfId="37" applyNumberFormat="1" applyFont="1" applyFill="1" applyBorder="1" applyAlignment="1" applyProtection="1">
      <alignment horizontal="center" vertical="center"/>
      <protection locked="0"/>
    </xf>
    <xf numFmtId="2" fontId="22" fillId="28" borderId="0" xfId="0" applyNumberFormat="1" applyFont="1" applyFill="1" applyBorder="1" applyAlignment="1" applyProtection="1">
      <alignment horizontal="center" vertical="center"/>
      <protection locked="0"/>
    </xf>
    <xf numFmtId="2" fontId="22" fillId="28" borderId="17" xfId="0" applyNumberFormat="1" applyFont="1" applyFill="1" applyBorder="1" applyAlignment="1" applyProtection="1">
      <alignment horizontal="center" vertical="center"/>
      <protection locked="0"/>
    </xf>
    <xf numFmtId="2" fontId="32" fillId="28" borderId="0" xfId="37" applyNumberFormat="1" applyFont="1" applyFill="1" applyBorder="1" applyAlignment="1" applyProtection="1">
      <alignment horizontal="center" vertical="center"/>
      <protection locked="0"/>
    </xf>
    <xf numFmtId="0" fontId="22" fillId="28" borderId="12" xfId="0" applyFont="1" applyFill="1" applyBorder="1" applyAlignment="1" applyProtection="1">
      <alignment horizontal="center" vertical="center"/>
      <protection locked="0"/>
    </xf>
    <xf numFmtId="164" fontId="22" fillId="28" borderId="7" xfId="0" applyNumberFormat="1" applyFont="1" applyFill="1" applyBorder="1" applyAlignment="1" applyProtection="1">
      <alignment horizontal="center" vertical="center"/>
      <protection locked="0"/>
    </xf>
    <xf numFmtId="0" fontId="22" fillId="28" borderId="19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Protection="1"/>
    <xf numFmtId="0" fontId="22" fillId="0" borderId="0" xfId="0" applyFont="1" applyProtection="1"/>
    <xf numFmtId="0" fontId="22" fillId="2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23" fillId="0" borderId="0" xfId="0" applyFont="1" applyProtection="1"/>
    <xf numFmtId="0" fontId="23" fillId="0" borderId="1" xfId="0" applyFont="1" applyBorder="1" applyAlignment="1" applyProtection="1">
      <alignment horizontal="center" vertical="center" wrapText="1"/>
    </xf>
    <xf numFmtId="0" fontId="23" fillId="0" borderId="26" xfId="0" applyFont="1" applyBorder="1" applyAlignment="1" applyProtection="1">
      <alignment horizontal="center" vertical="center" wrapText="1"/>
    </xf>
    <xf numFmtId="0" fontId="23" fillId="0" borderId="27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left" indent="1"/>
    </xf>
    <xf numFmtId="164" fontId="32" fillId="0" borderId="33" xfId="0" applyNumberFormat="1" applyFont="1" applyFill="1" applyBorder="1" applyAlignment="1" applyProtection="1">
      <alignment horizontal="center"/>
    </xf>
    <xf numFmtId="0" fontId="32" fillId="0" borderId="14" xfId="0" applyFont="1" applyFill="1" applyBorder="1" applyAlignment="1" applyProtection="1">
      <alignment horizontal="center"/>
    </xf>
    <xf numFmtId="0" fontId="32" fillId="0" borderId="5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32" fillId="0" borderId="4" xfId="0" applyFont="1" applyFill="1" applyBorder="1" applyAlignment="1" applyProtection="1">
      <alignment horizontal="center"/>
    </xf>
    <xf numFmtId="0" fontId="27" fillId="2" borderId="0" xfId="0" applyFont="1" applyFill="1" applyAlignment="1" applyProtection="1">
      <alignment horizontal="right"/>
    </xf>
    <xf numFmtId="1" fontId="32" fillId="0" borderId="33" xfId="0" applyNumberFormat="1" applyFont="1" applyFill="1" applyBorder="1" applyAlignment="1" applyProtection="1">
      <alignment horizontal="center"/>
    </xf>
    <xf numFmtId="2" fontId="32" fillId="0" borderId="14" xfId="0" applyNumberFormat="1" applyFont="1" applyFill="1" applyBorder="1" applyAlignment="1" applyProtection="1">
      <alignment horizontal="center"/>
    </xf>
    <xf numFmtId="2" fontId="32" fillId="0" borderId="5" xfId="0" applyNumberFormat="1" applyFont="1" applyFill="1" applyBorder="1" applyAlignment="1" applyProtection="1">
      <alignment horizontal="center"/>
    </xf>
    <xf numFmtId="2" fontId="32" fillId="0" borderId="0" xfId="0" applyNumberFormat="1" applyFont="1" applyFill="1" applyBorder="1" applyAlignment="1" applyProtection="1">
      <alignment horizontal="center"/>
    </xf>
    <xf numFmtId="2" fontId="32" fillId="0" borderId="4" xfId="0" applyNumberFormat="1" applyFont="1" applyFill="1" applyBorder="1" applyAlignment="1" applyProtection="1">
      <alignment horizontal="center"/>
    </xf>
    <xf numFmtId="164" fontId="38" fillId="2" borderId="0" xfId="0" applyNumberFormat="1" applyFont="1" applyFill="1" applyProtection="1"/>
    <xf numFmtId="164" fontId="32" fillId="0" borderId="14" xfId="0" applyNumberFormat="1" applyFont="1" applyFill="1" applyBorder="1" applyAlignment="1" applyProtection="1">
      <alignment horizontal="center"/>
    </xf>
    <xf numFmtId="164" fontId="32" fillId="0" borderId="5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Alignment="1" applyProtection="1">
      <alignment horizontal="center"/>
    </xf>
    <xf numFmtId="164" fontId="32" fillId="0" borderId="4" xfId="0" applyNumberFormat="1" applyFont="1" applyFill="1" applyBorder="1" applyAlignment="1" applyProtection="1">
      <alignment horizontal="center"/>
    </xf>
    <xf numFmtId="0" fontId="32" fillId="0" borderId="24" xfId="0" applyFont="1" applyFill="1" applyBorder="1" applyAlignment="1" applyProtection="1">
      <alignment horizontal="left" indent="1"/>
    </xf>
    <xf numFmtId="1" fontId="32" fillId="0" borderId="37" xfId="0" applyNumberFormat="1" applyFont="1" applyFill="1" applyBorder="1" applyAlignment="1" applyProtection="1">
      <alignment horizontal="center"/>
    </xf>
    <xf numFmtId="164" fontId="32" fillId="0" borderId="19" xfId="0" applyNumberFormat="1" applyFont="1" applyFill="1" applyBorder="1" applyAlignment="1" applyProtection="1">
      <alignment horizontal="center"/>
    </xf>
    <xf numFmtId="164" fontId="32" fillId="0" borderId="23" xfId="0" applyNumberFormat="1" applyFont="1" applyFill="1" applyBorder="1" applyAlignment="1" applyProtection="1">
      <alignment horizontal="center"/>
    </xf>
    <xf numFmtId="164" fontId="32" fillId="0" borderId="24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Protection="1"/>
    <xf numFmtId="0" fontId="32" fillId="0" borderId="0" xfId="0" applyFont="1" applyFill="1" applyBorder="1" applyAlignment="1" applyProtection="1">
      <alignment horizontal="left" indent="1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164" fontId="32" fillId="0" borderId="33" xfId="0" applyNumberFormat="1" applyFont="1" applyFill="1" applyBorder="1" applyAlignment="1" applyProtection="1">
      <alignment horizontal="center" vertical="center"/>
    </xf>
    <xf numFmtId="164" fontId="32" fillId="0" borderId="14" xfId="0" applyNumberFormat="1" applyFont="1" applyFill="1" applyBorder="1" applyAlignment="1" applyProtection="1">
      <alignment horizontal="center" vertical="center"/>
    </xf>
    <xf numFmtId="164" fontId="32" fillId="0" borderId="5" xfId="0" applyNumberFormat="1" applyFont="1" applyFill="1" applyBorder="1" applyAlignment="1" applyProtection="1">
      <alignment horizontal="center" vertical="center"/>
    </xf>
    <xf numFmtId="164" fontId="32" fillId="0" borderId="0" xfId="0" applyNumberFormat="1" applyFont="1" applyFill="1" applyBorder="1" applyAlignment="1" applyProtection="1">
      <alignment horizontal="center" vertical="center"/>
    </xf>
    <xf numFmtId="164" fontId="32" fillId="0" borderId="4" xfId="0" applyNumberFormat="1" applyFont="1" applyFill="1" applyBorder="1" applyAlignment="1" applyProtection="1">
      <alignment horizontal="center" vertical="center"/>
    </xf>
    <xf numFmtId="1" fontId="32" fillId="0" borderId="33" xfId="0" applyNumberFormat="1" applyFont="1" applyFill="1" applyBorder="1" applyAlignment="1" applyProtection="1">
      <alignment horizontal="center" vertical="center"/>
    </xf>
    <xf numFmtId="1" fontId="32" fillId="0" borderId="14" xfId="0" applyNumberFormat="1" applyFont="1" applyFill="1" applyBorder="1" applyAlignment="1" applyProtection="1">
      <alignment horizontal="center" vertical="center"/>
    </xf>
    <xf numFmtId="1" fontId="32" fillId="0" borderId="4" xfId="0" applyNumberFormat="1" applyFont="1" applyFill="1" applyBorder="1" applyAlignment="1" applyProtection="1">
      <alignment horizontal="center" vertical="center"/>
    </xf>
    <xf numFmtId="1" fontId="32" fillId="0" borderId="5" xfId="0" applyNumberFormat="1" applyFont="1" applyFill="1" applyBorder="1" applyAlignment="1" applyProtection="1">
      <alignment horizontal="center" vertical="center"/>
    </xf>
    <xf numFmtId="1" fontId="32" fillId="0" borderId="0" xfId="0" applyNumberFormat="1" applyFont="1" applyFill="1" applyBorder="1" applyAlignment="1" applyProtection="1">
      <alignment horizontal="center" vertical="center"/>
    </xf>
    <xf numFmtId="167" fontId="32" fillId="0" borderId="33" xfId="0" applyNumberFormat="1" applyFont="1" applyFill="1" applyBorder="1" applyAlignment="1" applyProtection="1">
      <alignment horizontal="center"/>
    </xf>
    <xf numFmtId="0" fontId="27" fillId="2" borderId="0" xfId="0" applyFont="1" applyFill="1" applyProtection="1"/>
    <xf numFmtId="0" fontId="22" fillId="0" borderId="4" xfId="0" applyFont="1" applyFill="1" applyBorder="1" applyAlignment="1" applyProtection="1">
      <alignment horizontal="left" indent="1"/>
    </xf>
    <xf numFmtId="0" fontId="22" fillId="0" borderId="24" xfId="0" applyFont="1" applyFill="1" applyBorder="1" applyAlignment="1" applyProtection="1">
      <alignment horizontal="left" indent="1"/>
    </xf>
    <xf numFmtId="1" fontId="32" fillId="0" borderId="37" xfId="0" applyNumberFormat="1" applyFont="1" applyFill="1" applyBorder="1" applyAlignment="1" applyProtection="1">
      <alignment horizontal="center" vertical="center"/>
    </xf>
    <xf numFmtId="1" fontId="32" fillId="0" borderId="19" xfId="0" applyNumberFormat="1" applyFont="1" applyFill="1" applyBorder="1" applyAlignment="1" applyProtection="1">
      <alignment horizontal="center" vertical="center"/>
    </xf>
    <xf numFmtId="164" fontId="32" fillId="0" borderId="23" xfId="0" applyNumberFormat="1" applyFont="1" applyFill="1" applyBorder="1" applyAlignment="1" applyProtection="1">
      <alignment horizontal="center" vertical="center"/>
    </xf>
    <xf numFmtId="1" fontId="32" fillId="0" borderId="24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Protection="1"/>
    <xf numFmtId="0" fontId="25" fillId="0" borderId="0" xfId="0" applyFont="1" applyProtection="1"/>
    <xf numFmtId="0" fontId="32" fillId="0" borderId="0" xfId="37" applyFont="1" applyAlignment="1" applyProtection="1">
      <alignment vertical="center"/>
    </xf>
    <xf numFmtId="0" fontId="58" fillId="0" borderId="4" xfId="0" applyFont="1" applyFill="1" applyBorder="1" applyAlignment="1" applyProtection="1">
      <alignment horizontal="left" indent="1"/>
    </xf>
    <xf numFmtId="1" fontId="53" fillId="27" borderId="0" xfId="37" applyNumberFormat="1" applyFont="1" applyFill="1" applyBorder="1" applyAlignment="1">
      <alignment horizontal="center" vertical="center"/>
    </xf>
    <xf numFmtId="0" fontId="53" fillId="27" borderId="0" xfId="37" applyFont="1" applyFill="1" applyBorder="1" applyAlignment="1">
      <alignment horizontal="center" vertical="center"/>
    </xf>
    <xf numFmtId="164" fontId="32" fillId="27" borderId="0" xfId="37" applyNumberFormat="1" applyFont="1" applyFill="1" applyBorder="1" applyAlignment="1">
      <alignment vertical="center"/>
    </xf>
    <xf numFmtId="0" fontId="32" fillId="27" borderId="0" xfId="37" applyFont="1" applyFill="1" applyBorder="1" applyAlignment="1">
      <alignment vertical="center"/>
    </xf>
    <xf numFmtId="166" fontId="53" fillId="27" borderId="0" xfId="37" applyNumberFormat="1" applyFont="1" applyFill="1" applyBorder="1" applyAlignment="1">
      <alignment vertical="center"/>
    </xf>
    <xf numFmtId="169" fontId="53" fillId="27" borderId="0" xfId="37" applyNumberFormat="1" applyFont="1" applyFill="1" applyBorder="1" applyAlignment="1">
      <alignment vertical="center"/>
    </xf>
    <xf numFmtId="0" fontId="53" fillId="27" borderId="0" xfId="37" applyFont="1" applyFill="1" applyBorder="1" applyAlignment="1">
      <alignment vertical="center"/>
    </xf>
    <xf numFmtId="0" fontId="54" fillId="27" borderId="0" xfId="0" applyFont="1" applyFill="1" applyBorder="1" applyAlignment="1">
      <alignment horizontal="center" vertical="center" wrapText="1"/>
    </xf>
    <xf numFmtId="1" fontId="54" fillId="27" borderId="0" xfId="0" applyNumberFormat="1" applyFont="1" applyFill="1" applyBorder="1" applyAlignment="1">
      <alignment horizontal="center" vertical="center"/>
    </xf>
    <xf numFmtId="0" fontId="53" fillId="27" borderId="0" xfId="0" applyFont="1" applyFill="1" applyBorder="1"/>
    <xf numFmtId="0" fontId="0" fillId="2" borderId="0" xfId="0" applyFill="1" applyProtection="1"/>
    <xf numFmtId="0" fontId="0" fillId="3" borderId="0" xfId="0" applyFill="1" applyProtection="1"/>
    <xf numFmtId="164" fontId="0" fillId="2" borderId="0" xfId="0" applyNumberFormat="1" applyFill="1" applyAlignment="1" applyProtection="1">
      <alignment horizontal="center"/>
    </xf>
    <xf numFmtId="164" fontId="0" fillId="2" borderId="0" xfId="0" applyNumberFormat="1" applyFill="1" applyProtection="1"/>
    <xf numFmtId="164" fontId="59" fillId="2" borderId="0" xfId="27" applyNumberFormat="1" applyFont="1" applyFill="1" applyBorder="1" applyAlignment="1" applyProtection="1">
      <alignment horizontal="left" vertical="center"/>
    </xf>
    <xf numFmtId="164" fontId="32" fillId="27" borderId="15" xfId="27" applyNumberFormat="1" applyFont="1" applyFill="1" applyBorder="1" applyAlignment="1" applyProtection="1">
      <alignment horizontal="center" vertical="center"/>
    </xf>
    <xf numFmtId="164" fontId="32" fillId="27" borderId="17" xfId="27" applyNumberFormat="1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vertical="top"/>
    </xf>
    <xf numFmtId="0" fontId="23" fillId="2" borderId="0" xfId="0" applyFont="1" applyFill="1" applyAlignment="1" applyProtection="1">
      <alignment vertical="top" wrapText="1"/>
    </xf>
    <xf numFmtId="169" fontId="60" fillId="0" borderId="33" xfId="37" applyNumberFormat="1" applyFont="1" applyBorder="1" applyAlignment="1">
      <alignment horizontal="center" vertical="center"/>
    </xf>
    <xf numFmtId="169" fontId="60" fillId="0" borderId="12" xfId="37" applyNumberFormat="1" applyFont="1" applyBorder="1" applyAlignment="1">
      <alignment horizontal="center" vertical="center"/>
    </xf>
    <xf numFmtId="169" fontId="60" fillId="0" borderId="11" xfId="37" applyNumberFormat="1" applyFont="1" applyBorder="1" applyAlignment="1">
      <alignment horizontal="center" vertical="center"/>
    </xf>
    <xf numFmtId="169" fontId="60" fillId="0" borderId="14" xfId="37" applyNumberFormat="1" applyFont="1" applyFill="1" applyBorder="1" applyAlignment="1">
      <alignment horizontal="center" vertical="center"/>
    </xf>
    <xf numFmtId="169" fontId="60" fillId="2" borderId="5" xfId="37" applyNumberFormat="1" applyFont="1" applyFill="1" applyBorder="1" applyAlignment="1">
      <alignment horizontal="center" vertical="center"/>
    </xf>
    <xf numFmtId="169" fontId="60" fillId="0" borderId="14" xfId="37" applyNumberFormat="1" applyFont="1" applyBorder="1" applyAlignment="1">
      <alignment horizontal="center" vertical="center"/>
    </xf>
    <xf numFmtId="169" fontId="60" fillId="0" borderId="5" xfId="37" applyNumberFormat="1" applyFont="1" applyBorder="1" applyAlignment="1">
      <alignment horizontal="center" vertical="center"/>
    </xf>
    <xf numFmtId="169" fontId="60" fillId="0" borderId="8" xfId="37" applyNumberFormat="1" applyFont="1" applyFill="1" applyBorder="1" applyAlignment="1">
      <alignment horizontal="center" vertical="center"/>
    </xf>
    <xf numFmtId="169" fontId="59" fillId="0" borderId="44" xfId="37" applyNumberFormat="1" applyFont="1" applyBorder="1" applyAlignment="1">
      <alignment horizontal="center" vertical="center"/>
    </xf>
    <xf numFmtId="169" fontId="59" fillId="0" borderId="21" xfId="37" applyNumberFormat="1" applyFont="1" applyBorder="1" applyAlignment="1">
      <alignment horizontal="center" vertical="center"/>
    </xf>
    <xf numFmtId="169" fontId="59" fillId="0" borderId="46" xfId="37" applyNumberFormat="1" applyFont="1" applyBorder="1" applyAlignment="1">
      <alignment horizontal="center" vertical="center"/>
    </xf>
    <xf numFmtId="169" fontId="58" fillId="0" borderId="33" xfId="37" applyNumberFormat="1" applyFont="1" applyFill="1" applyBorder="1" applyAlignment="1">
      <alignment horizontal="center" vertical="center"/>
    </xf>
    <xf numFmtId="169" fontId="58" fillId="0" borderId="14" xfId="37" applyNumberFormat="1" applyFont="1" applyFill="1" applyBorder="1" applyAlignment="1">
      <alignment horizontal="center" vertical="center"/>
    </xf>
    <xf numFmtId="169" fontId="58" fillId="0" borderId="5" xfId="37" applyNumberFormat="1" applyFont="1" applyBorder="1" applyAlignment="1">
      <alignment horizontal="center" vertical="center"/>
    </xf>
    <xf numFmtId="169" fontId="58" fillId="0" borderId="5" xfId="37" applyNumberFormat="1" applyFont="1" applyFill="1" applyBorder="1" applyAlignment="1">
      <alignment horizontal="center" vertical="center"/>
    </xf>
    <xf numFmtId="169" fontId="58" fillId="0" borderId="33" xfId="37" applyNumberFormat="1" applyFont="1" applyBorder="1" applyAlignment="1">
      <alignment horizontal="center" vertical="center"/>
    </xf>
    <xf numFmtId="169" fontId="58" fillId="0" borderId="32" xfId="37" applyNumberFormat="1" applyFont="1" applyBorder="1" applyAlignment="1">
      <alignment horizontal="center" vertical="center"/>
    </xf>
    <xf numFmtId="169" fontId="58" fillId="0" borderId="16" xfId="37" applyNumberFormat="1" applyFont="1" applyFill="1" applyBorder="1" applyAlignment="1">
      <alignment horizontal="center" vertical="center"/>
    </xf>
    <xf numFmtId="164" fontId="60" fillId="0" borderId="14" xfId="37" applyNumberFormat="1" applyFont="1" applyBorder="1" applyAlignment="1">
      <alignment horizontal="center" vertical="center"/>
    </xf>
    <xf numFmtId="164" fontId="60" fillId="0" borderId="5" xfId="37" applyNumberFormat="1" applyFont="1" applyBorder="1" applyAlignment="1">
      <alignment horizontal="center" vertical="center"/>
    </xf>
    <xf numFmtId="164" fontId="60" fillId="0" borderId="19" xfId="37" applyNumberFormat="1" applyFont="1" applyBorder="1" applyAlignment="1">
      <alignment horizontal="center" vertical="center"/>
    </xf>
    <xf numFmtId="164" fontId="60" fillId="0" borderId="23" xfId="37" applyNumberFormat="1" applyFont="1" applyBorder="1" applyAlignment="1">
      <alignment horizontal="center" vertical="center"/>
    </xf>
    <xf numFmtId="2" fontId="0" fillId="0" borderId="35" xfId="0" applyNumberFormat="1" applyBorder="1" applyAlignment="1">
      <alignment horizontal="center"/>
    </xf>
    <xf numFmtId="41" fontId="32" fillId="2" borderId="6" xfId="27" applyNumberFormat="1" applyFont="1" applyFill="1" applyBorder="1" applyAlignment="1" applyProtection="1">
      <alignment horizontal="right" vertical="center"/>
    </xf>
    <xf numFmtId="41" fontId="32" fillId="2" borderId="7" xfId="27" applyNumberFormat="1" applyFont="1" applyFill="1" applyBorder="1" applyAlignment="1" applyProtection="1">
      <alignment horizontal="right" vertical="center"/>
    </xf>
    <xf numFmtId="41" fontId="32" fillId="2" borderId="10" xfId="27" applyNumberFormat="1" applyFont="1" applyFill="1" applyBorder="1" applyAlignment="1" applyProtection="1">
      <alignment horizontal="right" vertical="center"/>
    </xf>
    <xf numFmtId="41" fontId="35" fillId="2" borderId="14" xfId="27" applyNumberFormat="1" applyFont="1" applyFill="1" applyBorder="1" applyAlignment="1" applyProtection="1">
      <alignment horizontal="center" vertical="center"/>
    </xf>
    <xf numFmtId="41" fontId="35" fillId="2" borderId="5" xfId="27" applyNumberFormat="1" applyFont="1" applyFill="1" applyBorder="1" applyAlignment="1" applyProtection="1">
      <alignment horizontal="center" vertical="center"/>
    </xf>
    <xf numFmtId="41" fontId="32" fillId="2" borderId="4" xfId="27" applyNumberFormat="1" applyFont="1" applyFill="1" applyBorder="1" applyAlignment="1" applyProtection="1">
      <alignment horizontal="right" vertical="center"/>
    </xf>
    <xf numFmtId="41" fontId="32" fillId="2" borderId="0" xfId="27" applyNumberFormat="1" applyFont="1" applyFill="1" applyBorder="1" applyAlignment="1" applyProtection="1">
      <alignment horizontal="right" vertical="center"/>
    </xf>
    <xf numFmtId="41" fontId="35" fillId="2" borderId="15" xfId="27" applyNumberFormat="1" applyFont="1" applyFill="1" applyBorder="1" applyAlignment="1" applyProtection="1">
      <alignment horizontal="center" vertical="center"/>
    </xf>
    <xf numFmtId="41" fontId="32" fillId="2" borderId="1" xfId="27" applyNumberFormat="1" applyFont="1" applyFill="1" applyBorder="1" applyAlignment="1" applyProtection="1">
      <alignment horizontal="right" vertical="center"/>
    </xf>
    <xf numFmtId="41" fontId="32" fillId="2" borderId="2" xfId="27" applyNumberFormat="1" applyFont="1" applyFill="1" applyBorder="1" applyAlignment="1" applyProtection="1">
      <alignment horizontal="right" vertical="center"/>
    </xf>
    <xf numFmtId="41" fontId="35" fillId="2" borderId="0" xfId="27" applyNumberFormat="1" applyFont="1" applyFill="1" applyBorder="1" applyAlignment="1" applyProtection="1">
      <alignment horizontal="center" vertical="center"/>
    </xf>
    <xf numFmtId="49" fontId="35" fillId="2" borderId="12" xfId="27" applyNumberFormat="1" applyFont="1" applyFill="1" applyBorder="1" applyAlignment="1" applyProtection="1">
      <alignment horizontal="center" vertical="center"/>
    </xf>
    <xf numFmtId="49" fontId="35" fillId="2" borderId="13" xfId="27" applyNumberFormat="1" applyFont="1" applyFill="1" applyBorder="1" applyAlignment="1" applyProtection="1">
      <alignment horizontal="center" vertical="center"/>
    </xf>
    <xf numFmtId="49" fontId="35" fillId="2" borderId="5" xfId="27" applyNumberFormat="1" applyFont="1" applyFill="1" applyBorder="1" applyAlignment="1" applyProtection="1">
      <alignment horizontal="center" vertical="center"/>
    </xf>
    <xf numFmtId="41" fontId="35" fillId="2" borderId="12" xfId="27" applyNumberFormat="1" applyFont="1" applyFill="1" applyBorder="1" applyAlignment="1" applyProtection="1">
      <alignment horizontal="center" vertical="center"/>
    </xf>
    <xf numFmtId="41" fontId="35" fillId="2" borderId="10" xfId="27" applyNumberFormat="1" applyFont="1" applyFill="1" applyBorder="1" applyAlignment="1" applyProtection="1">
      <alignment horizontal="center" vertical="center"/>
    </xf>
    <xf numFmtId="41" fontId="35" fillId="2" borderId="13" xfId="27" applyNumberFormat="1" applyFont="1" applyFill="1" applyBorder="1" applyAlignment="1" applyProtection="1">
      <alignment horizontal="center" vertical="center"/>
    </xf>
    <xf numFmtId="41" fontId="32" fillId="2" borderId="9" xfId="27" applyNumberFormat="1" applyFont="1" applyFill="1" applyBorder="1" applyAlignment="1" applyProtection="1">
      <alignment horizontal="right" vertical="center"/>
    </xf>
    <xf numFmtId="0" fontId="22" fillId="2" borderId="0" xfId="0" applyFont="1" applyFill="1" applyBorder="1" applyAlignment="1" applyProtection="1">
      <alignment horizontal="center" wrapText="1"/>
    </xf>
    <xf numFmtId="2" fontId="58" fillId="2" borderId="3" xfId="27" applyNumberFormat="1" applyFont="1" applyFill="1" applyBorder="1" applyAlignment="1" applyProtection="1">
      <alignment horizontal="left" vertical="center" wrapText="1"/>
    </xf>
    <xf numFmtId="2" fontId="32" fillId="2" borderId="5" xfId="27" applyNumberFormat="1" applyFont="1" applyFill="1" applyBorder="1" applyAlignment="1" applyProtection="1">
      <alignment horizontal="left" vertical="center" wrapText="1"/>
    </xf>
    <xf numFmtId="2" fontId="32" fillId="2" borderId="8" xfId="27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top"/>
    </xf>
    <xf numFmtId="0" fontId="22" fillId="2" borderId="0" xfId="0" applyFont="1" applyFill="1" applyAlignment="1" applyProtection="1">
      <alignment horizontal="left" vertical="top" wrapText="1"/>
    </xf>
    <xf numFmtId="0" fontId="23" fillId="2" borderId="0" xfId="0" applyFont="1" applyFill="1" applyBorder="1" applyAlignment="1" applyProtection="1">
      <alignment horizontal="left" wrapText="1"/>
    </xf>
    <xf numFmtId="0" fontId="23" fillId="2" borderId="27" xfId="0" applyFont="1" applyFill="1" applyBorder="1" applyAlignment="1" applyProtection="1">
      <alignment horizontal="center"/>
    </xf>
    <xf numFmtId="0" fontId="23" fillId="2" borderId="2" xfId="0" applyFont="1" applyFill="1" applyBorder="1" applyAlignment="1" applyProtection="1">
      <alignment horizontal="center"/>
    </xf>
    <xf numFmtId="0" fontId="23" fillId="2" borderId="25" xfId="0" applyFont="1" applyFill="1" applyBorder="1" applyAlignment="1" applyProtection="1">
      <alignment horizontal="center"/>
    </xf>
    <xf numFmtId="0" fontId="23" fillId="27" borderId="27" xfId="0" applyFont="1" applyFill="1" applyBorder="1" applyAlignment="1" applyProtection="1">
      <alignment horizontal="center" vertical="center"/>
    </xf>
    <xf numFmtId="0" fontId="23" fillId="27" borderId="2" xfId="0" applyFont="1" applyFill="1" applyBorder="1" applyAlignment="1" applyProtection="1">
      <alignment horizontal="center" vertical="center"/>
    </xf>
    <xf numFmtId="0" fontId="23" fillId="27" borderId="25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38" applyFont="1" applyBorder="1" applyAlignment="1">
      <alignment horizontal="center"/>
    </xf>
    <xf numFmtId="0" fontId="35" fillId="0" borderId="0" xfId="0" applyFont="1" applyAlignment="1">
      <alignment horizontal="left" wrapText="1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23" fillId="2" borderId="14" xfId="27" applyNumberFormat="1" applyFont="1" applyFill="1" applyBorder="1" applyAlignment="1" applyProtection="1">
      <alignment horizontal="center" vertical="center"/>
    </xf>
    <xf numFmtId="41" fontId="23" fillId="2" borderId="15" xfId="27" applyNumberFormat="1" applyFont="1" applyFill="1" applyBorder="1" applyAlignment="1" applyProtection="1">
      <alignment horizontal="center" vertical="center"/>
    </xf>
    <xf numFmtId="41" fontId="23" fillId="2" borderId="0" xfId="27" applyNumberFormat="1" applyFont="1" applyFill="1" applyBorder="1" applyAlignment="1" applyProtection="1">
      <alignment horizontal="center" vertical="center"/>
    </xf>
    <xf numFmtId="49" fontId="23" fillId="2" borderId="12" xfId="27" applyNumberFormat="1" applyFont="1" applyFill="1" applyBorder="1" applyAlignment="1" applyProtection="1">
      <alignment horizontal="center" vertical="center"/>
    </xf>
    <xf numFmtId="49" fontId="23" fillId="2" borderId="13" xfId="27" applyNumberFormat="1" applyFont="1" applyFill="1" applyBorder="1" applyAlignment="1" applyProtection="1">
      <alignment horizontal="center" vertical="center"/>
    </xf>
    <xf numFmtId="49" fontId="23" fillId="2" borderId="11" xfId="27" applyNumberFormat="1" applyFont="1" applyFill="1" applyBorder="1" applyAlignment="1" applyProtection="1">
      <alignment horizontal="center" vertical="center"/>
    </xf>
    <xf numFmtId="41" fontId="23" fillId="2" borderId="5" xfId="27" applyNumberFormat="1" applyFont="1" applyFill="1" applyBorder="1" applyAlignment="1" applyProtection="1">
      <alignment horizontal="center" vertical="center"/>
    </xf>
    <xf numFmtId="41" fontId="23" fillId="2" borderId="12" xfId="27" applyNumberFormat="1" applyFont="1" applyFill="1" applyBorder="1" applyAlignment="1" applyProtection="1">
      <alignment horizontal="center" vertical="center"/>
    </xf>
    <xf numFmtId="41" fontId="23" fillId="2" borderId="10" xfId="27" applyNumberFormat="1" applyFont="1" applyFill="1" applyBorder="1" applyAlignment="1" applyProtection="1">
      <alignment horizontal="center" vertical="center"/>
    </xf>
    <xf numFmtId="41" fontId="23" fillId="2" borderId="13" xfId="27" applyNumberFormat="1" applyFont="1" applyFill="1" applyBorder="1" applyAlignment="1" applyProtection="1">
      <alignment horizontal="center" vertical="center"/>
    </xf>
    <xf numFmtId="41" fontId="22" fillId="2" borderId="9" xfId="27" applyNumberFormat="1" applyFont="1" applyFill="1" applyBorder="1" applyAlignment="1" applyProtection="1">
      <alignment horizontal="right" vertical="center"/>
    </xf>
    <xf numFmtId="41" fontId="22" fillId="2" borderId="10" xfId="27" applyNumberFormat="1" applyFont="1" applyFill="1" applyBorder="1" applyAlignment="1" applyProtection="1">
      <alignment horizontal="right" vertical="center"/>
    </xf>
    <xf numFmtId="41" fontId="22" fillId="2" borderId="6" xfId="27" applyNumberFormat="1" applyFont="1" applyFill="1" applyBorder="1" applyAlignment="1" applyProtection="1">
      <alignment horizontal="right" vertical="center"/>
    </xf>
    <xf numFmtId="41" fontId="22" fillId="2" borderId="7" xfId="27" applyNumberFormat="1" applyFont="1" applyFill="1" applyBorder="1" applyAlignment="1" applyProtection="1">
      <alignment horizontal="right" vertical="center"/>
    </xf>
    <xf numFmtId="41" fontId="22" fillId="2" borderId="4" xfId="27" applyNumberFormat="1" applyFont="1" applyFill="1" applyBorder="1" applyAlignment="1" applyProtection="1">
      <alignment horizontal="right" vertical="center"/>
    </xf>
    <xf numFmtId="41" fontId="22" fillId="2" borderId="0" xfId="27" applyNumberFormat="1" applyFont="1" applyFill="1" applyBorder="1" applyAlignment="1" applyProtection="1">
      <alignment horizontal="right" vertical="center"/>
    </xf>
    <xf numFmtId="41" fontId="22" fillId="2" borderId="1" xfId="27" applyNumberFormat="1" applyFont="1" applyFill="1" applyBorder="1" applyAlignment="1" applyProtection="1">
      <alignment horizontal="right" vertical="center"/>
    </xf>
    <xf numFmtId="41" fontId="22" fillId="2" borderId="2" xfId="27" applyNumberFormat="1" applyFont="1" applyFill="1" applyBorder="1" applyAlignment="1" applyProtection="1">
      <alignment horizontal="right" vertical="center"/>
    </xf>
    <xf numFmtId="2" fontId="32" fillId="2" borderId="3" xfId="27" applyNumberFormat="1" applyFont="1" applyFill="1" applyBorder="1" applyAlignment="1" applyProtection="1">
      <alignment horizontal="center" vertical="center" wrapText="1"/>
      <protection locked="0"/>
    </xf>
    <xf numFmtId="2" fontId="32" fillId="2" borderId="5" xfId="27" applyNumberFormat="1" applyFont="1" applyFill="1" applyBorder="1" applyAlignment="1" applyProtection="1">
      <alignment horizontal="center" vertical="center" wrapText="1"/>
      <protection locked="0"/>
    </xf>
    <xf numFmtId="2" fontId="32" fillId="2" borderId="8" xfId="27" applyNumberFormat="1" applyFont="1" applyFill="1" applyBorder="1" applyAlignment="1" applyProtection="1">
      <alignment horizontal="center" vertical="center" wrapText="1"/>
      <protection locked="0"/>
    </xf>
    <xf numFmtId="0" fontId="32" fillId="2" borderId="2" xfId="37" applyFont="1" applyFill="1" applyBorder="1" applyAlignment="1">
      <alignment horizontal="center" vertical="center" wrapText="1"/>
    </xf>
    <xf numFmtId="0" fontId="48" fillId="2" borderId="86" xfId="0" applyFont="1" applyFill="1" applyBorder="1" applyAlignment="1">
      <alignment horizontal="left" vertical="center" wrapText="1"/>
    </xf>
    <xf numFmtId="0" fontId="48" fillId="2" borderId="66" xfId="0" applyFont="1" applyFill="1" applyBorder="1" applyAlignment="1">
      <alignment horizontal="left" vertical="center" wrapText="1"/>
    </xf>
    <xf numFmtId="0" fontId="48" fillId="2" borderId="67" xfId="0" applyFont="1" applyFill="1" applyBorder="1" applyAlignment="1">
      <alignment horizontal="left" vertical="center" wrapText="1"/>
    </xf>
    <xf numFmtId="0" fontId="48" fillId="2" borderId="65" xfId="0" applyFont="1" applyFill="1" applyBorder="1" applyAlignment="1">
      <alignment horizontal="left" vertical="center" wrapText="1"/>
    </xf>
    <xf numFmtId="0" fontId="48" fillId="2" borderId="93" xfId="0" applyFont="1" applyFill="1" applyBorder="1" applyAlignment="1">
      <alignment horizontal="left" vertical="center" wrapText="1"/>
    </xf>
    <xf numFmtId="0" fontId="48" fillId="2" borderId="7" xfId="0" applyFont="1" applyFill="1" applyBorder="1" applyAlignment="1">
      <alignment horizontal="left" vertical="center" wrapText="1"/>
    </xf>
    <xf numFmtId="0" fontId="48" fillId="2" borderId="94" xfId="0" applyFont="1" applyFill="1" applyBorder="1" applyAlignment="1">
      <alignment horizontal="left" vertical="center" wrapText="1"/>
    </xf>
    <xf numFmtId="0" fontId="26" fillId="2" borderId="69" xfId="0" applyFont="1" applyFill="1" applyBorder="1" applyAlignment="1">
      <alignment horizontal="left" vertical="center" wrapText="1"/>
    </xf>
    <xf numFmtId="0" fontId="26" fillId="2" borderId="70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/>
    </xf>
    <xf numFmtId="0" fontId="48" fillId="2" borderId="82" xfId="0" applyFont="1" applyFill="1" applyBorder="1" applyAlignment="1">
      <alignment horizontal="left" vertical="center" wrapText="1"/>
    </xf>
    <xf numFmtId="0" fontId="48" fillId="2" borderId="83" xfId="0" applyFont="1" applyFill="1" applyBorder="1" applyAlignment="1">
      <alignment horizontal="left" vertical="center" wrapText="1"/>
    </xf>
    <xf numFmtId="0" fontId="48" fillId="2" borderId="8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top" wrapText="1"/>
    </xf>
    <xf numFmtId="0" fontId="23" fillId="3" borderId="0" xfId="0" applyFont="1" applyFill="1" applyAlignment="1">
      <alignment horizontal="left"/>
    </xf>
  </cellXfs>
  <cellStyles count="4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8"/>
    <cellStyle name="Ergebnis" xfId="29"/>
    <cellStyle name="Erklärender Text" xfId="30"/>
    <cellStyle name="Euro" xfId="31"/>
    <cellStyle name="Gut" xfId="32"/>
    <cellStyle name="Komma" xfId="27" builtinId="3"/>
    <cellStyle name="Neutral" xfId="33"/>
    <cellStyle name="Notiz" xfId="34"/>
    <cellStyle name="Prozent" xfId="35" builtinId="5"/>
    <cellStyle name="Schlecht" xfId="36"/>
    <cellStyle name="Standard" xfId="0" builtinId="0"/>
    <cellStyle name="Standard_Gesamtstadt Kostenbilanz" xfId="37"/>
    <cellStyle name="Standard_Mappe1" xfId="38"/>
    <cellStyle name="Überschrift" xfId="39"/>
    <cellStyle name="Überschrift 1" xfId="40"/>
    <cellStyle name="Überschrift 2" xfId="41"/>
    <cellStyle name="Überschrift 3" xfId="42"/>
    <cellStyle name="Überschrift 4" xfId="43"/>
    <cellStyle name="Verknüpfte Zelle" xfId="44"/>
    <cellStyle name="Warnender Text" xfId="45"/>
    <cellStyle name="Zelle überprüfen" xfId="46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0000FF"/>
      <color rgb="FF008000"/>
      <color rgb="FF00FF00"/>
      <color rgb="FFFFFF99"/>
      <color rgb="FF8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99301269773728"/>
          <c:y val="0.152897075365579"/>
          <c:w val="0.85089575796268802"/>
          <c:h val="0.68458267716535359"/>
        </c:manualLayout>
      </c:layout>
      <c:lineChart>
        <c:grouping val="standard"/>
        <c:varyColors val="0"/>
        <c:ser>
          <c:idx val="0"/>
          <c:order val="0"/>
          <c:tx>
            <c:strRef>
              <c:f>Sensitivitätsanalyse!$R$19</c:f>
              <c:strCache>
                <c:ptCount val="1"/>
                <c:pt idx="0">
                  <c:v>aktuelle Annahme (Tab. 8)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Sensitivitätsanalyse!$S$18:$U$18</c:f>
              <c:strCache>
                <c:ptCount val="3"/>
                <c:pt idx="0">
                  <c:v>Status-quo</c:v>
                </c:pt>
                <c:pt idx="1">
                  <c:v>Referenz</c:v>
                </c:pt>
                <c:pt idx="2">
                  <c:v>Transformation</c:v>
                </c:pt>
              </c:strCache>
            </c:strRef>
          </c:cat>
          <c:val>
            <c:numRef>
              <c:f>Sensitivitätsanalyse!$S$19:$U$19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Sensitivitätsanalyse!$R$20</c:f>
              <c:strCache>
                <c:ptCount val="1"/>
                <c:pt idx="0">
                  <c:v>worst-case</c:v>
                </c:pt>
              </c:strCache>
            </c:strRef>
          </c:tx>
          <c:spPr>
            <a:ln w="38100"/>
          </c:spPr>
          <c:marker>
            <c:symbol val="square"/>
            <c:size val="7"/>
          </c:marker>
          <c:cat>
            <c:strRef>
              <c:f>Sensitivitätsanalyse!$S$18:$U$18</c:f>
              <c:strCache>
                <c:ptCount val="3"/>
                <c:pt idx="0">
                  <c:v>Status-quo</c:v>
                </c:pt>
                <c:pt idx="1">
                  <c:v>Referenz</c:v>
                </c:pt>
                <c:pt idx="2">
                  <c:v>Transformation</c:v>
                </c:pt>
              </c:strCache>
            </c:strRef>
          </c:cat>
          <c:val>
            <c:numRef>
              <c:f>Sensitivitätsanalyse!$S$20:$U$20</c:f>
              <c:numCache>
                <c:formatCode>0</c:formatCode>
                <c:ptCount val="3"/>
                <c:pt idx="0">
                  <c:v>0</c:v>
                </c:pt>
                <c:pt idx="1">
                  <c:v>5.8307187826742251</c:v>
                </c:pt>
                <c:pt idx="2">
                  <c:v>25.320065001791335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Sensitivitätsanalyse!$R$21</c:f>
              <c:strCache>
                <c:ptCount val="1"/>
                <c:pt idx="0">
                  <c:v>best-case</c:v>
                </c:pt>
              </c:strCache>
            </c:strRef>
          </c:tx>
          <c:spPr>
            <a:ln w="38100"/>
          </c:spPr>
          <c:marker>
            <c:symbol val="triangle"/>
            <c:size val="8"/>
          </c:marker>
          <c:cat>
            <c:strRef>
              <c:f>Sensitivitätsanalyse!$S$18:$U$18</c:f>
              <c:strCache>
                <c:ptCount val="3"/>
                <c:pt idx="0">
                  <c:v>Status-quo</c:v>
                </c:pt>
                <c:pt idx="1">
                  <c:v>Referenz</c:v>
                </c:pt>
                <c:pt idx="2">
                  <c:v>Transformation</c:v>
                </c:pt>
              </c:strCache>
            </c:strRef>
          </c:cat>
          <c:val>
            <c:numRef>
              <c:f>Sensitivitätsanalyse!$S$21:$U$21</c:f>
              <c:numCache>
                <c:formatCode>0</c:formatCode>
                <c:ptCount val="3"/>
                <c:pt idx="0">
                  <c:v>0</c:v>
                </c:pt>
                <c:pt idx="1">
                  <c:v>-5.8307187826742393</c:v>
                </c:pt>
                <c:pt idx="2">
                  <c:v>-25.32006500179132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Sensitivitätsanalyse!$R$22</c:f>
              <c:strCache>
                <c:ptCount val="1"/>
                <c:pt idx="0">
                  <c:v>relative Energiepreissteigerung</c:v>
                </c:pt>
              </c:strCache>
            </c:strRef>
          </c:tx>
          <c:spPr>
            <a:ln w="38100">
              <a:solidFill>
                <a:srgbClr val="3366FF"/>
              </a:solidFill>
              <a:prstDash val="dash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Sensitivitätsanalyse!$S$18:$U$18</c:f>
              <c:strCache>
                <c:ptCount val="3"/>
                <c:pt idx="0">
                  <c:v>Status-quo</c:v>
                </c:pt>
                <c:pt idx="1">
                  <c:v>Referenz</c:v>
                </c:pt>
                <c:pt idx="2">
                  <c:v>Transformation</c:v>
                </c:pt>
              </c:strCache>
            </c:strRef>
          </c:cat>
          <c:val>
            <c:numRef>
              <c:f>Sensitivitätsanalyse!$S$22:$U$22</c:f>
              <c:numCache>
                <c:formatCode>0</c:formatCode>
                <c:ptCount val="3"/>
                <c:pt idx="0">
                  <c:v>0</c:v>
                </c:pt>
                <c:pt idx="1">
                  <c:v>-6.5294433753499419</c:v>
                </c:pt>
                <c:pt idx="2">
                  <c:v>-28.561072316036871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7120"/>
        <c:axId val="159269248"/>
      </c:lineChart>
      <c:catAx>
        <c:axId val="15851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Systemvarianten (Szenarien)</a:t>
                </a:r>
              </a:p>
            </c:rich>
          </c:tx>
          <c:layout>
            <c:manualLayout>
              <c:xMode val="edge"/>
              <c:yMode val="edge"/>
              <c:x val="0.40093920692345902"/>
              <c:y val="0.94312148481439861"/>
            </c:manualLayout>
          </c:layout>
          <c:overlay val="0"/>
        </c:title>
        <c:majorTickMark val="none"/>
        <c:minorTickMark val="none"/>
        <c:tickLblPos val="low"/>
        <c:crossAx val="159269248"/>
        <c:crosses val="autoZero"/>
        <c:auto val="1"/>
        <c:lblAlgn val="ctr"/>
        <c:lblOffset val="100"/>
        <c:noMultiLvlLbl val="0"/>
      </c:catAx>
      <c:valAx>
        <c:axId val="159269248"/>
        <c:scaling>
          <c:orientation val="minMax"/>
          <c:max val="100"/>
          <c:min val="-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Abweichung Gesamtkosten in %</a:t>
                </a:r>
              </a:p>
            </c:rich>
          </c:tx>
          <c:layout>
            <c:manualLayout>
              <c:xMode val="edge"/>
              <c:yMode val="edge"/>
              <c:x val="2.970312832517565E-3"/>
              <c:y val="0.18746737907761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58517120"/>
        <c:crosses val="autoZero"/>
        <c:crossBetween val="between"/>
        <c:majorUnit val="25"/>
      </c:valAx>
    </c:plotArea>
    <c:legend>
      <c:legendPos val="t"/>
      <c:layout>
        <c:manualLayout>
          <c:xMode val="edge"/>
          <c:yMode val="edge"/>
          <c:x val="0.13906605424322022"/>
          <c:y val="0"/>
          <c:w val="0.84370575299709316"/>
          <c:h val="0.11645219347581502"/>
        </c:manualLayout>
      </c:layout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b="1">
          <a:latin typeface="Arial"/>
          <a:cs typeface="Arial"/>
        </a:defRPr>
      </a:pPr>
      <a:endParaRPr lang="de-DE"/>
    </a:p>
  </c:txPr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7864474382213"/>
          <c:y val="5.2235652445509609E-2"/>
          <c:w val="0.84735292924957162"/>
          <c:h val="0.69926500416010662"/>
        </c:manualLayout>
      </c:layout>
      <c:bubbleChart>
        <c:varyColors val="0"/>
        <c:ser>
          <c:idx val="0"/>
          <c:order val="0"/>
          <c:tx>
            <c:strRef>
              <c:f>'Interne Berechunung'!$C$171</c:f>
              <c:strCache>
                <c:ptCount val="1"/>
                <c:pt idx="0">
                  <c:v>Status quo</c:v>
                </c:pt>
              </c:strCache>
            </c:strRef>
          </c:tx>
          <c:spPr>
            <a:solidFill>
              <a:srgbClr val="0000FF"/>
            </a:solidFill>
            <a:ln w="47625">
              <a:noFill/>
            </a:ln>
          </c:spPr>
          <c:invertIfNegative val="0"/>
          <c:xVal>
            <c:numRef>
              <c:f>'Interne Berechunung'!$C$173</c:f>
              <c:numCache>
                <c:formatCode>0.0</c:formatCode>
                <c:ptCount val="1"/>
                <c:pt idx="0">
                  <c:v>1</c:v>
                </c:pt>
              </c:numCache>
            </c:numRef>
          </c:xVal>
          <c:yVal>
            <c:numRef>
              <c:f>'Interne Berechunung'!$C$172</c:f>
              <c:numCache>
                <c:formatCode>0.0</c:formatCode>
                <c:ptCount val="1"/>
                <c:pt idx="0">
                  <c:v>1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</c:ser>
        <c:ser>
          <c:idx val="1"/>
          <c:order val="1"/>
          <c:tx>
            <c:strRef>
              <c:f>'Interne Berechunung'!$D$171</c:f>
              <c:strCache>
                <c:ptCount val="1"/>
                <c:pt idx="0">
                  <c:v>Referenz</c:v>
                </c:pt>
              </c:strCache>
            </c:strRef>
          </c:tx>
          <c:spPr>
            <a:solidFill>
              <a:srgbClr val="FF0000"/>
            </a:solidFill>
            <a:ln w="47625">
              <a:noFill/>
            </a:ln>
          </c:spPr>
          <c:invertIfNegative val="0"/>
          <c:xVal>
            <c:numRef>
              <c:f>'Interne Berechunung'!$D$173</c:f>
              <c:numCache>
                <c:formatCode>0.0</c:formatCode>
                <c:ptCount val="1"/>
                <c:pt idx="0">
                  <c:v>1.0699332209373089</c:v>
                </c:pt>
              </c:numCache>
            </c:numRef>
          </c:xVal>
          <c:yVal>
            <c:numRef>
              <c:f>'Interne Berechunung'!$D$172</c:f>
              <c:numCache>
                <c:formatCode>0.0</c:formatCode>
                <c:ptCount val="1"/>
                <c:pt idx="0">
                  <c:v>1.9972267154788117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</c:ser>
        <c:ser>
          <c:idx val="2"/>
          <c:order val="2"/>
          <c:tx>
            <c:strRef>
              <c:f>'Interne Berechunung'!$E$171</c:f>
              <c:strCache>
                <c:ptCount val="1"/>
                <c:pt idx="0">
                  <c:v>Transformation</c:v>
                </c:pt>
              </c:strCache>
            </c:strRef>
          </c:tx>
          <c:spPr>
            <a:solidFill>
              <a:srgbClr val="008000"/>
            </a:solidFill>
            <a:ln w="47625">
              <a:noFill/>
            </a:ln>
          </c:spPr>
          <c:invertIfNegative val="0"/>
          <c:xVal>
            <c:numRef>
              <c:f>'Interne Berechunung'!$E$173</c:f>
              <c:numCache>
                <c:formatCode>0.0</c:formatCode>
                <c:ptCount val="1"/>
                <c:pt idx="0">
                  <c:v>1.0661121389566139</c:v>
                </c:pt>
              </c:numCache>
            </c:numRef>
          </c:xVal>
          <c:yVal>
            <c:numRef>
              <c:f>'Interne Berechunung'!$E$172</c:f>
              <c:numCache>
                <c:formatCode>0.0</c:formatCode>
                <c:ptCount val="1"/>
                <c:pt idx="0">
                  <c:v>3.7005949696471023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159345280"/>
        <c:axId val="159347456"/>
      </c:bubbleChart>
      <c:valAx>
        <c:axId val="159345280"/>
        <c:scaling>
          <c:orientation val="minMax"/>
          <c:max val="3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Kostenbilanz (normiert auf Status quo)</a:t>
                </a:r>
              </a:p>
            </c:rich>
          </c:tx>
          <c:layout>
            <c:manualLayout>
              <c:xMode val="edge"/>
              <c:yMode val="edge"/>
              <c:x val="0.34395946436466307"/>
              <c:y val="0.84760615438352815"/>
            </c:manualLayout>
          </c:layout>
          <c:overlay val="0"/>
        </c:title>
        <c:numFmt formatCode="0.0" sourceLinked="0"/>
        <c:majorTickMark val="cross"/>
        <c:minorTickMark val="none"/>
        <c:tickLblPos val="low"/>
        <c:spPr>
          <a:ln>
            <a:solidFill>
              <a:schemeClr val="tx1"/>
            </a:solidFill>
          </a:ln>
        </c:spPr>
        <c:crossAx val="159347456"/>
        <c:crossesAt val="1"/>
        <c:crossBetween val="midCat"/>
        <c:majorUnit val="1"/>
      </c:valAx>
      <c:valAx>
        <c:axId val="159347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Umweltbilanz (normiert auf Status</a:t>
                </a:r>
                <a:r>
                  <a:rPr lang="de-DE" baseline="0"/>
                  <a:t> </a:t>
                </a:r>
                <a:r>
                  <a:rPr lang="de-DE"/>
                  <a:t>quo)</a:t>
                </a:r>
              </a:p>
            </c:rich>
          </c:tx>
          <c:layout>
            <c:manualLayout>
              <c:xMode val="edge"/>
              <c:yMode val="edge"/>
              <c:x val="7.6495925336995492E-3"/>
              <c:y val="4.1416168392000095E-2"/>
            </c:manualLayout>
          </c:layout>
          <c:overlay val="0"/>
        </c:title>
        <c:numFmt formatCode="0.0" sourceLinked="0"/>
        <c:majorTickMark val="cross"/>
        <c:minorTickMark val="none"/>
        <c:tickLblPos val="low"/>
        <c:spPr>
          <a:ln>
            <a:solidFill>
              <a:schemeClr val="tx1"/>
            </a:solidFill>
          </a:ln>
        </c:spPr>
        <c:crossAx val="159345280"/>
        <c:crossesAt val="1"/>
        <c:crossBetween val="midCat"/>
        <c:minorUnit val="0.5"/>
      </c:valAx>
    </c:plotArea>
    <c:legend>
      <c:legendPos val="b"/>
      <c:layout>
        <c:manualLayout>
          <c:xMode val="edge"/>
          <c:yMode val="edge"/>
          <c:x val="0.10871698146798323"/>
          <c:y val="0.92943217539579259"/>
          <c:w val="0.86084156478524398"/>
          <c:h val="6.3160415036574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>
          <a:latin typeface="Arial"/>
          <a:cs typeface="Arial"/>
        </a:defRPr>
      </a:pPr>
      <a:endParaRPr lang="de-DE"/>
    </a:p>
  </c:txPr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659361</xdr:colOff>
      <xdr:row>2</xdr:row>
      <xdr:rowOff>162560</xdr:rowOff>
    </xdr:from>
    <xdr:to>
      <xdr:col>9</xdr:col>
      <xdr:colOff>622299</xdr:colOff>
      <xdr:row>15</xdr:row>
      <xdr:rowOff>81280</xdr:rowOff>
    </xdr:to>
    <xdr:pic>
      <xdr:nvPicPr>
        <xdr:cNvPr id="16" name="Bild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281" y="396240"/>
          <a:ext cx="4494298" cy="3423920"/>
        </a:xfrm>
        <a:prstGeom prst="rect">
          <a:avLst/>
        </a:prstGeom>
      </xdr:spPr>
    </xdr:pic>
    <xdr:clientData/>
  </xdr:twoCellAnchor>
  <xdr:twoCellAnchor>
    <xdr:from>
      <xdr:col>11</xdr:col>
      <xdr:colOff>599440</xdr:colOff>
      <xdr:row>2</xdr:row>
      <xdr:rowOff>101600</xdr:rowOff>
    </xdr:from>
    <xdr:to>
      <xdr:col>17</xdr:col>
      <xdr:colOff>558800</xdr:colOff>
      <xdr:row>15</xdr:row>
      <xdr:rowOff>152400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309034</xdr:colOff>
      <xdr:row>4</xdr:row>
      <xdr:rowOff>25400</xdr:rowOff>
    </xdr:from>
    <xdr:to>
      <xdr:col>8</xdr:col>
      <xdr:colOff>296333</xdr:colOff>
      <xdr:row>24</xdr:row>
      <xdr:rowOff>42333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rgb="FFFFFF00"/>
    <pageSetUpPr fitToPage="1"/>
  </sheetPr>
  <dimension ref="B1:AM78"/>
  <sheetViews>
    <sheetView tabSelected="1" workbookViewId="0">
      <selection activeCell="B2" sqref="B2"/>
    </sheetView>
  </sheetViews>
  <sheetFormatPr baseColWidth="10" defaultColWidth="10.85546875" defaultRowHeight="14.25" x14ac:dyDescent="0.2"/>
  <cols>
    <col min="1" max="1" width="0.7109375" style="337" customWidth="1"/>
    <col min="2" max="2" width="21.42578125" style="337" customWidth="1"/>
    <col min="3" max="3" width="8" style="337" customWidth="1"/>
    <col min="4" max="4" width="7.85546875" style="337" customWidth="1"/>
    <col min="5" max="5" width="7.28515625" style="337" customWidth="1"/>
    <col min="6" max="6" width="7.85546875" style="337" customWidth="1"/>
    <col min="7" max="7" width="9.5703125" style="337" customWidth="1"/>
    <col min="8" max="8" width="12.7109375" style="337" customWidth="1"/>
    <col min="9" max="9" width="7.85546875" style="337" customWidth="1"/>
    <col min="10" max="10" width="12.7109375" style="337" customWidth="1"/>
    <col min="11" max="11" width="7.85546875" style="337" customWidth="1"/>
    <col min="12" max="12" width="12.7109375" style="337" customWidth="1"/>
    <col min="13" max="13" width="0.7109375" style="337" customWidth="1"/>
    <col min="14" max="14" width="10.85546875" style="337"/>
    <col min="15" max="15" width="10.7109375" style="337" customWidth="1"/>
    <col min="16" max="16384" width="10.85546875" style="337"/>
  </cols>
  <sheetData>
    <row r="1" spans="2:39" ht="3.95" customHeight="1" x14ac:dyDescent="0.2"/>
    <row r="2" spans="2:39" ht="17.100000000000001" customHeight="1" x14ac:dyDescent="0.25">
      <c r="B2" s="338" t="s">
        <v>50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2:39" ht="17.100000000000001" customHeight="1" x14ac:dyDescent="0.25">
      <c r="B3" s="340"/>
    </row>
    <row r="4" spans="2:39" ht="17.100000000000001" customHeight="1" x14ac:dyDescent="0.25">
      <c r="B4" s="338" t="s">
        <v>420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</row>
    <row r="5" spans="2:39" ht="17.100000000000001" customHeight="1" x14ac:dyDescent="0.25">
      <c r="B5" s="340"/>
    </row>
    <row r="6" spans="2:39" ht="33.950000000000003" customHeight="1" x14ac:dyDescent="0.2">
      <c r="B6" s="944" t="s">
        <v>83</v>
      </c>
      <c r="C6" s="991" t="s">
        <v>150</v>
      </c>
      <c r="D6" s="991"/>
      <c r="E6" s="991"/>
      <c r="F6" s="991"/>
      <c r="G6" s="991"/>
      <c r="H6" s="991"/>
      <c r="I6" s="991"/>
      <c r="J6" s="991"/>
      <c r="K6" s="991"/>
      <c r="L6" s="991"/>
    </row>
    <row r="7" spans="2:39" ht="17.100000000000001" customHeight="1" x14ac:dyDescent="0.2">
      <c r="B7" s="943" t="s">
        <v>371</v>
      </c>
      <c r="C7" s="990" t="s">
        <v>372</v>
      </c>
      <c r="D7" s="990"/>
      <c r="E7" s="990"/>
      <c r="F7" s="990"/>
      <c r="G7" s="990"/>
      <c r="H7" s="990"/>
      <c r="I7" s="990"/>
      <c r="J7" s="990"/>
      <c r="K7" s="990"/>
      <c r="L7" s="990"/>
    </row>
    <row r="8" spans="2:39" ht="33.75" customHeight="1" x14ac:dyDescent="0.2">
      <c r="B8" s="943" t="s">
        <v>373</v>
      </c>
      <c r="C8" s="991" t="s">
        <v>713</v>
      </c>
      <c r="D8" s="991"/>
      <c r="E8" s="991"/>
      <c r="F8" s="991"/>
      <c r="G8" s="991"/>
      <c r="H8" s="991"/>
      <c r="I8" s="991"/>
      <c r="J8" s="991"/>
      <c r="K8" s="991"/>
      <c r="L8" s="991"/>
    </row>
    <row r="9" spans="2:39" ht="17.100000000000001" customHeight="1" x14ac:dyDescent="0.2">
      <c r="B9" s="943" t="s">
        <v>614</v>
      </c>
      <c r="C9" s="990" t="s">
        <v>265</v>
      </c>
      <c r="D9" s="990"/>
      <c r="E9" s="990"/>
      <c r="F9" s="990"/>
      <c r="G9" s="990"/>
      <c r="H9" s="990"/>
      <c r="I9" s="990"/>
      <c r="J9" s="990"/>
      <c r="K9" s="990"/>
      <c r="L9" s="990"/>
    </row>
    <row r="10" spans="2:39" ht="42" customHeight="1" x14ac:dyDescent="0.2">
      <c r="B10" s="943" t="s">
        <v>266</v>
      </c>
      <c r="C10" s="991" t="s">
        <v>375</v>
      </c>
      <c r="D10" s="991"/>
      <c r="E10" s="991"/>
      <c r="F10" s="991"/>
      <c r="G10" s="991"/>
      <c r="H10" s="991"/>
      <c r="I10" s="991"/>
      <c r="J10" s="991"/>
      <c r="K10" s="991"/>
      <c r="L10" s="991"/>
    </row>
    <row r="11" spans="2:39" ht="17.100000000000001" customHeight="1" x14ac:dyDescent="0.25">
      <c r="B11" s="341"/>
      <c r="C11" s="990" t="s">
        <v>37</v>
      </c>
      <c r="D11" s="990"/>
      <c r="E11" s="990"/>
      <c r="F11" s="990"/>
      <c r="G11" s="990"/>
      <c r="H11" s="990"/>
      <c r="I11" s="990"/>
      <c r="J11" s="990"/>
      <c r="K11" s="990"/>
      <c r="L11" s="990"/>
    </row>
    <row r="12" spans="2:39" ht="17.100000000000001" customHeight="1" x14ac:dyDescent="0.25">
      <c r="B12" s="340"/>
    </row>
    <row r="13" spans="2:39" ht="17.100000000000001" customHeight="1" x14ac:dyDescent="0.25">
      <c r="B13" s="342" t="s">
        <v>559</v>
      </c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AA13" s="343"/>
      <c r="AM13" s="343"/>
    </row>
    <row r="14" spans="2:39" ht="17.100000000000001" customHeight="1" x14ac:dyDescent="0.25">
      <c r="B14" s="344"/>
      <c r="AA14" s="343"/>
      <c r="AM14" s="343"/>
    </row>
    <row r="15" spans="2:39" ht="61.5" customHeight="1" x14ac:dyDescent="0.25">
      <c r="B15" s="992" t="s">
        <v>397</v>
      </c>
      <c r="C15" s="992"/>
      <c r="D15" s="992"/>
      <c r="E15" s="992"/>
      <c r="F15" s="992"/>
      <c r="G15" s="992"/>
      <c r="H15" s="992"/>
      <c r="I15" s="992"/>
      <c r="J15" s="992"/>
      <c r="K15" s="992"/>
      <c r="L15" s="992"/>
      <c r="AA15" s="343"/>
      <c r="AM15" s="343"/>
    </row>
    <row r="16" spans="2:39" ht="17.100000000000001" customHeight="1" x14ac:dyDescent="0.2">
      <c r="B16" s="343"/>
      <c r="AA16" s="343"/>
      <c r="AM16" s="343"/>
    </row>
    <row r="17" spans="2:39" ht="3.95" customHeight="1" thickBot="1" x14ac:dyDescent="0.25">
      <c r="B17" s="343"/>
      <c r="AA17" s="343"/>
      <c r="AM17" s="343"/>
    </row>
    <row r="18" spans="2:39" ht="20.100000000000001" customHeight="1" thickTop="1" x14ac:dyDescent="0.2">
      <c r="B18" s="976" t="s">
        <v>38</v>
      </c>
      <c r="C18" s="977"/>
      <c r="D18" s="712">
        <v>5000</v>
      </c>
      <c r="E18" s="977" t="s">
        <v>96</v>
      </c>
      <c r="F18" s="977"/>
      <c r="G18" s="977"/>
      <c r="H18" s="715">
        <v>650</v>
      </c>
      <c r="I18" s="977" t="s">
        <v>25</v>
      </c>
      <c r="J18" s="977"/>
      <c r="K18" s="977"/>
      <c r="L18" s="718">
        <v>0.2</v>
      </c>
      <c r="M18" s="369"/>
      <c r="N18" s="369"/>
      <c r="AA18" s="343"/>
      <c r="AM18" s="369"/>
    </row>
    <row r="19" spans="2:39" ht="20.100000000000001" customHeight="1" x14ac:dyDescent="0.2">
      <c r="B19" s="973" t="s">
        <v>39</v>
      </c>
      <c r="C19" s="974"/>
      <c r="D19" s="713">
        <v>0.35</v>
      </c>
      <c r="E19" s="974" t="s">
        <v>97</v>
      </c>
      <c r="F19" s="974"/>
      <c r="G19" s="974"/>
      <c r="H19" s="716">
        <v>0.8</v>
      </c>
      <c r="I19" s="974" t="s">
        <v>26</v>
      </c>
      <c r="J19" s="974"/>
      <c r="K19" s="974"/>
      <c r="L19" s="719">
        <v>0.4</v>
      </c>
      <c r="M19" s="369"/>
      <c r="N19" s="369"/>
      <c r="AA19" s="343"/>
      <c r="AM19" s="369"/>
    </row>
    <row r="20" spans="2:39" ht="20.100000000000001" customHeight="1" x14ac:dyDescent="0.2">
      <c r="B20" s="968" t="s">
        <v>95</v>
      </c>
      <c r="C20" s="969"/>
      <c r="D20" s="708">
        <f>D18*D19</f>
        <v>1750</v>
      </c>
      <c r="E20" s="969" t="s">
        <v>736</v>
      </c>
      <c r="F20" s="969"/>
      <c r="G20" s="969"/>
      <c r="H20" s="717">
        <v>2000</v>
      </c>
      <c r="I20" s="969" t="s">
        <v>70</v>
      </c>
      <c r="J20" s="969"/>
      <c r="K20" s="969"/>
      <c r="L20" s="720">
        <v>0.6</v>
      </c>
      <c r="M20" s="371"/>
      <c r="N20" s="371"/>
      <c r="AA20" s="343"/>
      <c r="AM20" s="371"/>
    </row>
    <row r="21" spans="2:39" ht="20.100000000000001" customHeight="1" x14ac:dyDescent="0.2">
      <c r="B21" s="985" t="s">
        <v>71</v>
      </c>
      <c r="C21" s="970"/>
      <c r="D21" s="714">
        <v>100</v>
      </c>
      <c r="E21" s="970" t="s">
        <v>17</v>
      </c>
      <c r="F21" s="970"/>
      <c r="G21" s="970"/>
      <c r="H21" s="709">
        <f>D18*D21</f>
        <v>500000</v>
      </c>
      <c r="I21" s="970" t="s">
        <v>80</v>
      </c>
      <c r="J21" s="970"/>
      <c r="K21" s="970"/>
      <c r="L21" s="711">
        <f>H21+H22*L22</f>
        <v>625000</v>
      </c>
      <c r="M21" s="373"/>
      <c r="N21" s="373"/>
      <c r="AA21" s="343"/>
      <c r="AM21" s="373"/>
    </row>
    <row r="22" spans="2:39" ht="20.100000000000001" customHeight="1" x14ac:dyDescent="0.2">
      <c r="B22" s="968" t="s">
        <v>72</v>
      </c>
      <c r="C22" s="969"/>
      <c r="D22" s="714">
        <v>50</v>
      </c>
      <c r="E22" s="969" t="s">
        <v>79</v>
      </c>
      <c r="F22" s="969"/>
      <c r="G22" s="969"/>
      <c r="H22" s="710">
        <f>D18*D22</f>
        <v>250000</v>
      </c>
      <c r="I22" s="969" t="s">
        <v>81</v>
      </c>
      <c r="J22" s="969"/>
      <c r="K22" s="969"/>
      <c r="L22" s="720">
        <v>0.5</v>
      </c>
      <c r="M22" s="373"/>
      <c r="N22" s="373"/>
      <c r="AA22" s="343"/>
      <c r="AM22" s="373"/>
    </row>
    <row r="23" spans="2:39" ht="20.100000000000001" customHeight="1" x14ac:dyDescent="0.2">
      <c r="B23" s="376" t="s">
        <v>525</v>
      </c>
      <c r="C23" s="982" t="s">
        <v>114</v>
      </c>
      <c r="D23" s="983"/>
      <c r="E23" s="983"/>
      <c r="F23" s="984"/>
      <c r="G23" s="979" t="s">
        <v>394</v>
      </c>
      <c r="H23" s="980"/>
      <c r="I23" s="979" t="s">
        <v>21</v>
      </c>
      <c r="J23" s="980"/>
      <c r="K23" s="979" t="s">
        <v>82</v>
      </c>
      <c r="L23" s="981"/>
      <c r="M23" s="375"/>
      <c r="N23" s="375"/>
      <c r="AA23" s="343"/>
      <c r="AM23" s="375"/>
    </row>
    <row r="24" spans="2:39" ht="20.100000000000001" customHeight="1" x14ac:dyDescent="0.2">
      <c r="B24" s="376"/>
      <c r="C24" s="971" t="s">
        <v>219</v>
      </c>
      <c r="D24" s="978"/>
      <c r="E24" s="971" t="s">
        <v>220</v>
      </c>
      <c r="F24" s="975"/>
      <c r="G24" s="971" t="s">
        <v>221</v>
      </c>
      <c r="H24" s="975"/>
      <c r="I24" s="971" t="s">
        <v>221</v>
      </c>
      <c r="J24" s="975"/>
      <c r="K24" s="971" t="s">
        <v>221</v>
      </c>
      <c r="L24" s="972"/>
      <c r="M24" s="782"/>
      <c r="N24" s="782"/>
      <c r="AA24" s="343"/>
      <c r="AM24" s="782"/>
    </row>
    <row r="25" spans="2:39" ht="30.95" customHeight="1" x14ac:dyDescent="0.2">
      <c r="B25" s="376" t="s">
        <v>536</v>
      </c>
      <c r="C25" s="779" t="s">
        <v>537</v>
      </c>
      <c r="D25" s="745" t="s">
        <v>737</v>
      </c>
      <c r="E25" s="779" t="s">
        <v>537</v>
      </c>
      <c r="F25" s="744" t="s">
        <v>735</v>
      </c>
      <c r="G25" s="779" t="s">
        <v>537</v>
      </c>
      <c r="H25" s="745" t="s">
        <v>854</v>
      </c>
      <c r="I25" s="779" t="s">
        <v>537</v>
      </c>
      <c r="J25" s="745" t="s">
        <v>854</v>
      </c>
      <c r="K25" s="779" t="s">
        <v>537</v>
      </c>
      <c r="L25" s="746" t="s">
        <v>854</v>
      </c>
      <c r="M25" s="782"/>
      <c r="N25" s="782"/>
      <c r="AA25" s="343"/>
      <c r="AM25" s="782"/>
    </row>
    <row r="26" spans="2:39" ht="20.100000000000001" customHeight="1" x14ac:dyDescent="0.2">
      <c r="B26" s="378" t="s">
        <v>718</v>
      </c>
      <c r="C26" s="379">
        <f t="shared" ref="C26:C32" si="0">IF(D26=0,0,D26/$D$33*100)</f>
        <v>4.4444444444444446</v>
      </c>
      <c r="D26" s="380">
        <v>2</v>
      </c>
      <c r="E26" s="379">
        <f t="shared" ref="E26:E32" si="1">IF(F26=0,0,F26/$F$33*100)</f>
        <v>4.7619047619047619</v>
      </c>
      <c r="F26" s="381">
        <v>0.5</v>
      </c>
      <c r="G26" s="379">
        <f t="shared" ref="G26:G32" si="2">IF(H26=0,0,H26/$H$33*100)</f>
        <v>0</v>
      </c>
      <c r="H26" s="381">
        <v>0</v>
      </c>
      <c r="I26" s="379">
        <f t="shared" ref="I26:I32" si="3">IF(J26=0,0,J26/$J$33*100)</f>
        <v>0</v>
      </c>
      <c r="J26" s="381">
        <v>0</v>
      </c>
      <c r="K26" s="379">
        <f t="shared" ref="K26:K32" si="4">IF(L26=0,0,L26/$L$33*100)</f>
        <v>4.2735042735042734</v>
      </c>
      <c r="L26" s="382">
        <f t="shared" ref="L26:L32" si="5">D26+F26+H26+J26</f>
        <v>2.5</v>
      </c>
      <c r="M26" s="383"/>
      <c r="N26" s="383"/>
      <c r="AA26" s="343"/>
      <c r="AM26" s="383"/>
    </row>
    <row r="27" spans="2:39" ht="20.100000000000001" customHeight="1" x14ac:dyDescent="0.2">
      <c r="B27" s="378" t="s">
        <v>455</v>
      </c>
      <c r="C27" s="379">
        <f t="shared" si="0"/>
        <v>33.333333333333329</v>
      </c>
      <c r="D27" s="380">
        <v>15</v>
      </c>
      <c r="E27" s="379">
        <f t="shared" si="1"/>
        <v>4.7619047619047619</v>
      </c>
      <c r="F27" s="381">
        <v>0.5</v>
      </c>
      <c r="G27" s="379">
        <f t="shared" si="2"/>
        <v>0</v>
      </c>
      <c r="H27" s="381">
        <v>0</v>
      </c>
      <c r="I27" s="379">
        <f t="shared" si="3"/>
        <v>0</v>
      </c>
      <c r="J27" s="381">
        <v>0</v>
      </c>
      <c r="K27" s="379">
        <f t="shared" si="4"/>
        <v>26.495726495726498</v>
      </c>
      <c r="L27" s="382">
        <f t="shared" si="5"/>
        <v>15.5</v>
      </c>
      <c r="M27" s="383"/>
      <c r="N27" s="383"/>
      <c r="AA27" s="343"/>
      <c r="AM27" s="383"/>
    </row>
    <row r="28" spans="2:39" ht="20.100000000000001" customHeight="1" x14ac:dyDescent="0.2">
      <c r="B28" s="378" t="s">
        <v>570</v>
      </c>
      <c r="C28" s="379">
        <f t="shared" si="0"/>
        <v>6.666666666666667</v>
      </c>
      <c r="D28" s="380">
        <v>3</v>
      </c>
      <c r="E28" s="379">
        <f t="shared" si="1"/>
        <v>4.7619047619047619</v>
      </c>
      <c r="F28" s="381">
        <v>0.5</v>
      </c>
      <c r="G28" s="379">
        <f t="shared" si="2"/>
        <v>0</v>
      </c>
      <c r="H28" s="381">
        <v>0</v>
      </c>
      <c r="I28" s="379">
        <f t="shared" si="3"/>
        <v>0</v>
      </c>
      <c r="J28" s="381">
        <v>0</v>
      </c>
      <c r="K28" s="379">
        <f t="shared" si="4"/>
        <v>5.982905982905983</v>
      </c>
      <c r="L28" s="382">
        <f t="shared" si="5"/>
        <v>3.5</v>
      </c>
      <c r="M28" s="383"/>
      <c r="N28" s="383"/>
      <c r="AA28" s="343"/>
      <c r="AM28" s="383"/>
    </row>
    <row r="29" spans="2:39" ht="20.100000000000001" customHeight="1" x14ac:dyDescent="0.2">
      <c r="B29" s="378" t="s">
        <v>668</v>
      </c>
      <c r="C29" s="379">
        <f t="shared" si="0"/>
        <v>13.333333333333334</v>
      </c>
      <c r="D29" s="380">
        <v>6</v>
      </c>
      <c r="E29" s="379">
        <f t="shared" si="1"/>
        <v>0</v>
      </c>
      <c r="F29" s="381">
        <v>0</v>
      </c>
      <c r="G29" s="379">
        <f t="shared" si="2"/>
        <v>0</v>
      </c>
      <c r="H29" s="381">
        <v>0</v>
      </c>
      <c r="I29" s="379">
        <f t="shared" si="3"/>
        <v>0</v>
      </c>
      <c r="J29" s="381">
        <v>0</v>
      </c>
      <c r="K29" s="379">
        <f t="shared" si="4"/>
        <v>10.256410256410255</v>
      </c>
      <c r="L29" s="382">
        <f t="shared" si="5"/>
        <v>6</v>
      </c>
      <c r="M29" s="383"/>
      <c r="N29" s="383"/>
      <c r="AA29" s="343"/>
      <c r="AM29" s="383"/>
    </row>
    <row r="30" spans="2:39" ht="20.100000000000001" customHeight="1" x14ac:dyDescent="0.2">
      <c r="B30" s="378" t="s">
        <v>453</v>
      </c>
      <c r="C30" s="379">
        <f t="shared" si="0"/>
        <v>26.666666666666668</v>
      </c>
      <c r="D30" s="380">
        <v>12</v>
      </c>
      <c r="E30" s="379">
        <f t="shared" si="1"/>
        <v>57.142857142857139</v>
      </c>
      <c r="F30" s="381">
        <v>6</v>
      </c>
      <c r="G30" s="379">
        <f t="shared" si="2"/>
        <v>16.666666666666664</v>
      </c>
      <c r="H30" s="381">
        <v>0.5</v>
      </c>
      <c r="I30" s="379">
        <f t="shared" si="3"/>
        <v>0</v>
      </c>
      <c r="J30" s="381">
        <v>0</v>
      </c>
      <c r="K30" s="379">
        <f t="shared" si="4"/>
        <v>31.623931623931622</v>
      </c>
      <c r="L30" s="382">
        <f t="shared" si="5"/>
        <v>18.5</v>
      </c>
      <c r="M30" s="383"/>
      <c r="N30" s="383"/>
      <c r="AA30" s="343"/>
      <c r="AM30" s="383"/>
    </row>
    <row r="31" spans="2:39" ht="20.100000000000001" customHeight="1" x14ac:dyDescent="0.2">
      <c r="B31" s="378" t="s">
        <v>719</v>
      </c>
      <c r="C31" s="379">
        <f t="shared" si="0"/>
        <v>6.666666666666667</v>
      </c>
      <c r="D31" s="380">
        <v>3</v>
      </c>
      <c r="E31" s="379">
        <f t="shared" si="1"/>
        <v>19.047619047619047</v>
      </c>
      <c r="F31" s="381">
        <v>2</v>
      </c>
      <c r="G31" s="379">
        <f t="shared" si="2"/>
        <v>16.666666666666664</v>
      </c>
      <c r="H31" s="381">
        <v>0.5</v>
      </c>
      <c r="I31" s="379">
        <f t="shared" si="3"/>
        <v>0</v>
      </c>
      <c r="J31" s="381">
        <v>0</v>
      </c>
      <c r="K31" s="379">
        <f t="shared" si="4"/>
        <v>9.4017094017094021</v>
      </c>
      <c r="L31" s="382">
        <f t="shared" si="5"/>
        <v>5.5</v>
      </c>
      <c r="M31" s="383"/>
      <c r="N31" s="383"/>
      <c r="AA31" s="343"/>
      <c r="AM31" s="383"/>
    </row>
    <row r="32" spans="2:39" ht="20.100000000000001" customHeight="1" x14ac:dyDescent="0.2">
      <c r="B32" s="384" t="s">
        <v>628</v>
      </c>
      <c r="C32" s="385">
        <f t="shared" si="0"/>
        <v>8.8888888888888893</v>
      </c>
      <c r="D32" s="386">
        <v>4</v>
      </c>
      <c r="E32" s="379">
        <f t="shared" si="1"/>
        <v>9.5238095238095237</v>
      </c>
      <c r="F32" s="387">
        <v>1</v>
      </c>
      <c r="G32" s="385">
        <f t="shared" si="2"/>
        <v>66.666666666666657</v>
      </c>
      <c r="H32" s="387">
        <v>2</v>
      </c>
      <c r="I32" s="385">
        <f t="shared" si="3"/>
        <v>0</v>
      </c>
      <c r="J32" s="387">
        <v>0</v>
      </c>
      <c r="K32" s="385">
        <f t="shared" si="4"/>
        <v>11.965811965811966</v>
      </c>
      <c r="L32" s="404">
        <f t="shared" si="5"/>
        <v>7</v>
      </c>
      <c r="M32" s="383"/>
      <c r="N32" s="383"/>
      <c r="AA32" s="343"/>
      <c r="AM32" s="383"/>
    </row>
    <row r="33" spans="2:39" ht="20.100000000000001" customHeight="1" thickBot="1" x14ac:dyDescent="0.25">
      <c r="B33" s="388" t="s">
        <v>529</v>
      </c>
      <c r="C33" s="392">
        <f t="shared" ref="C33:L33" si="6">SUM(C26:C32)</f>
        <v>100</v>
      </c>
      <c r="D33" s="390">
        <f t="shared" si="6"/>
        <v>45</v>
      </c>
      <c r="E33" s="391">
        <f t="shared" si="6"/>
        <v>99.999999999999986</v>
      </c>
      <c r="F33" s="390">
        <f t="shared" si="6"/>
        <v>10.5</v>
      </c>
      <c r="G33" s="392">
        <f t="shared" si="6"/>
        <v>99.999999999999986</v>
      </c>
      <c r="H33" s="420">
        <f t="shared" si="6"/>
        <v>3</v>
      </c>
      <c r="I33" s="392">
        <f t="shared" si="6"/>
        <v>0</v>
      </c>
      <c r="J33" s="420">
        <f t="shared" si="6"/>
        <v>0</v>
      </c>
      <c r="K33" s="392">
        <f t="shared" si="6"/>
        <v>99.999999999999986</v>
      </c>
      <c r="L33" s="393">
        <f t="shared" si="6"/>
        <v>58.5</v>
      </c>
      <c r="M33" s="394"/>
      <c r="N33" s="394"/>
      <c r="AA33" s="343"/>
      <c r="AM33" s="394"/>
    </row>
    <row r="34" spans="2:39" ht="3.95" customHeight="1" thickTop="1" x14ac:dyDescent="0.2">
      <c r="B34" s="375"/>
      <c r="C34" s="371"/>
      <c r="D34" s="394"/>
      <c r="E34" s="371"/>
      <c r="F34" s="394"/>
      <c r="G34" s="371"/>
      <c r="H34" s="394"/>
      <c r="I34" s="371"/>
      <c r="J34" s="394"/>
      <c r="K34" s="371"/>
      <c r="L34" s="394"/>
      <c r="M34" s="394"/>
      <c r="N34" s="394"/>
      <c r="AA34" s="343"/>
      <c r="AM34" s="394"/>
    </row>
    <row r="35" spans="2:39" ht="17.100000000000001" customHeight="1" x14ac:dyDescent="0.2">
      <c r="B35" s="375"/>
      <c r="C35" s="371"/>
      <c r="D35" s="394"/>
      <c r="E35" s="371"/>
      <c r="F35" s="394"/>
      <c r="G35" s="371"/>
      <c r="H35" s="394"/>
      <c r="I35" s="371"/>
      <c r="J35" s="394"/>
      <c r="K35" s="371"/>
      <c r="L35" s="394"/>
      <c r="M35" s="394"/>
      <c r="N35" s="394"/>
      <c r="AA35" s="343"/>
      <c r="AM35" s="394"/>
    </row>
    <row r="36" spans="2:39" ht="17.100000000000001" customHeight="1" x14ac:dyDescent="0.25">
      <c r="B36" s="342" t="s">
        <v>767</v>
      </c>
      <c r="C36" s="339"/>
      <c r="D36" s="339"/>
      <c r="E36" s="339"/>
      <c r="F36" s="339"/>
      <c r="G36" s="339"/>
      <c r="H36" s="339"/>
      <c r="I36" s="339"/>
      <c r="J36" s="339"/>
      <c r="K36" s="339"/>
      <c r="L36" s="339"/>
    </row>
    <row r="37" spans="2:39" ht="17.100000000000001" customHeight="1" x14ac:dyDescent="0.2">
      <c r="B37" s="343"/>
    </row>
    <row r="38" spans="2:39" ht="3.95" customHeight="1" thickBot="1" x14ac:dyDescent="0.25">
      <c r="B38" s="343"/>
    </row>
    <row r="39" spans="2:39" ht="20.100000000000001" customHeight="1" thickTop="1" x14ac:dyDescent="0.2">
      <c r="B39" s="976" t="s">
        <v>38</v>
      </c>
      <c r="C39" s="977"/>
      <c r="D39" s="712">
        <v>5000</v>
      </c>
      <c r="E39" s="977" t="s">
        <v>96</v>
      </c>
      <c r="F39" s="977"/>
      <c r="G39" s="977"/>
      <c r="H39" s="715">
        <v>650</v>
      </c>
      <c r="I39" s="977" t="s">
        <v>25</v>
      </c>
      <c r="J39" s="977"/>
      <c r="K39" s="977"/>
      <c r="L39" s="718">
        <v>0.15</v>
      </c>
    </row>
    <row r="40" spans="2:39" ht="20.100000000000001" customHeight="1" x14ac:dyDescent="0.2">
      <c r="B40" s="973" t="s">
        <v>39</v>
      </c>
      <c r="C40" s="974"/>
      <c r="D40" s="713">
        <v>0.35</v>
      </c>
      <c r="E40" s="974" t="s">
        <v>97</v>
      </c>
      <c r="F40" s="974"/>
      <c r="G40" s="974"/>
      <c r="H40" s="716">
        <v>0.8</v>
      </c>
      <c r="I40" s="974" t="s">
        <v>26</v>
      </c>
      <c r="J40" s="974"/>
      <c r="K40" s="974"/>
      <c r="L40" s="719">
        <v>0.6</v>
      </c>
    </row>
    <row r="41" spans="2:39" ht="20.100000000000001" customHeight="1" x14ac:dyDescent="0.2">
      <c r="B41" s="968" t="s">
        <v>95</v>
      </c>
      <c r="C41" s="969"/>
      <c r="D41" s="708">
        <f>D39*D40</f>
        <v>1750</v>
      </c>
      <c r="E41" s="969" t="s">
        <v>736</v>
      </c>
      <c r="F41" s="969"/>
      <c r="G41" s="969"/>
      <c r="H41" s="717">
        <v>2000</v>
      </c>
      <c r="I41" s="969" t="s">
        <v>70</v>
      </c>
      <c r="J41" s="969"/>
      <c r="K41" s="969"/>
      <c r="L41" s="720">
        <v>0.4</v>
      </c>
    </row>
    <row r="42" spans="2:39" ht="20.100000000000001" customHeight="1" x14ac:dyDescent="0.2">
      <c r="B42" s="985" t="s">
        <v>71</v>
      </c>
      <c r="C42" s="970"/>
      <c r="D42" s="714">
        <v>75</v>
      </c>
      <c r="E42" s="970" t="s">
        <v>17</v>
      </c>
      <c r="F42" s="970"/>
      <c r="G42" s="970"/>
      <c r="H42" s="709">
        <f>D39*D42</f>
        <v>375000</v>
      </c>
      <c r="I42" s="970" t="s">
        <v>80</v>
      </c>
      <c r="J42" s="970"/>
      <c r="K42" s="970"/>
      <c r="L42" s="711">
        <f>H42+H43*L43</f>
        <v>450000</v>
      </c>
    </row>
    <row r="43" spans="2:39" ht="20.100000000000001" customHeight="1" x14ac:dyDescent="0.2">
      <c r="B43" s="968" t="s">
        <v>72</v>
      </c>
      <c r="C43" s="969"/>
      <c r="D43" s="714">
        <v>30</v>
      </c>
      <c r="E43" s="969" t="s">
        <v>79</v>
      </c>
      <c r="F43" s="969"/>
      <c r="G43" s="969"/>
      <c r="H43" s="710">
        <f>D39*D43</f>
        <v>150000</v>
      </c>
      <c r="I43" s="969" t="s">
        <v>81</v>
      </c>
      <c r="J43" s="969"/>
      <c r="K43" s="969"/>
      <c r="L43" s="720">
        <v>0.5</v>
      </c>
    </row>
    <row r="44" spans="2:39" ht="20.100000000000001" customHeight="1" x14ac:dyDescent="0.2">
      <c r="B44" s="376" t="s">
        <v>525</v>
      </c>
      <c r="C44" s="982" t="s">
        <v>114</v>
      </c>
      <c r="D44" s="983"/>
      <c r="E44" s="983"/>
      <c r="F44" s="984"/>
      <c r="G44" s="979" t="s">
        <v>394</v>
      </c>
      <c r="H44" s="980"/>
      <c r="I44" s="979" t="s">
        <v>589</v>
      </c>
      <c r="J44" s="980"/>
      <c r="K44" s="979" t="s">
        <v>82</v>
      </c>
      <c r="L44" s="981"/>
    </row>
    <row r="45" spans="2:39" ht="20.100000000000001" customHeight="1" x14ac:dyDescent="0.2">
      <c r="B45" s="376"/>
      <c r="C45" s="971" t="s">
        <v>219</v>
      </c>
      <c r="D45" s="978"/>
      <c r="E45" s="971" t="s">
        <v>220</v>
      </c>
      <c r="F45" s="975"/>
      <c r="G45" s="971" t="s">
        <v>221</v>
      </c>
      <c r="H45" s="975"/>
      <c r="I45" s="971" t="s">
        <v>221</v>
      </c>
      <c r="J45" s="975"/>
      <c r="K45" s="971" t="s">
        <v>221</v>
      </c>
      <c r="L45" s="972"/>
    </row>
    <row r="46" spans="2:39" ht="30" customHeight="1" x14ac:dyDescent="0.2">
      <c r="B46" s="376" t="s">
        <v>536</v>
      </c>
      <c r="C46" s="779" t="s">
        <v>537</v>
      </c>
      <c r="D46" s="745" t="s">
        <v>737</v>
      </c>
      <c r="E46" s="779" t="s">
        <v>537</v>
      </c>
      <c r="F46" s="744" t="s">
        <v>735</v>
      </c>
      <c r="G46" s="779" t="s">
        <v>537</v>
      </c>
      <c r="H46" s="745" t="s">
        <v>854</v>
      </c>
      <c r="I46" s="779" t="s">
        <v>537</v>
      </c>
      <c r="J46" s="745" t="s">
        <v>854</v>
      </c>
      <c r="K46" s="779" t="s">
        <v>537</v>
      </c>
      <c r="L46" s="746" t="s">
        <v>854</v>
      </c>
    </row>
    <row r="47" spans="2:39" ht="20.100000000000001" customHeight="1" x14ac:dyDescent="0.2">
      <c r="B47" s="378" t="s">
        <v>718</v>
      </c>
      <c r="C47" s="379">
        <f t="shared" ref="C47:C53" si="7">IF(D47=0,0,D47/$D$54*100)</f>
        <v>5.8823529411764701</v>
      </c>
      <c r="D47" s="380">
        <v>2</v>
      </c>
      <c r="E47" s="379">
        <f t="shared" ref="E47:E53" si="8">IF(F47=0,0,F47/$F$54*100)</f>
        <v>5.5555555555555554</v>
      </c>
      <c r="F47" s="381">
        <v>0.5</v>
      </c>
      <c r="G47" s="379">
        <f t="shared" ref="G47:G53" si="9">IF(H47=0,0,H47/$H$54*100)</f>
        <v>0</v>
      </c>
      <c r="H47" s="381">
        <v>0</v>
      </c>
      <c r="I47" s="379">
        <f t="shared" ref="I47:I53" si="10">IF(J47=0,0,J47/$J$54*100)</f>
        <v>0</v>
      </c>
      <c r="J47" s="941">
        <v>0</v>
      </c>
      <c r="K47" s="379">
        <f t="shared" ref="K47:K53" si="11">IF(L47=0,0,L47/$L$54*100)</f>
        <v>5.0505050505050502</v>
      </c>
      <c r="L47" s="382">
        <f t="shared" ref="L47:L53" si="12">D47+F47+H47+J47</f>
        <v>2.5</v>
      </c>
    </row>
    <row r="48" spans="2:39" ht="20.100000000000001" customHeight="1" x14ac:dyDescent="0.2">
      <c r="B48" s="378" t="s">
        <v>455</v>
      </c>
      <c r="C48" s="379">
        <f t="shared" si="7"/>
        <v>35.294117647058826</v>
      </c>
      <c r="D48" s="380">
        <v>12</v>
      </c>
      <c r="E48" s="379">
        <f t="shared" si="8"/>
        <v>5.5555555555555554</v>
      </c>
      <c r="F48" s="381">
        <v>0.5</v>
      </c>
      <c r="G48" s="379">
        <f t="shared" si="9"/>
        <v>0</v>
      </c>
      <c r="H48" s="381">
        <v>0</v>
      </c>
      <c r="I48" s="379">
        <f t="shared" si="10"/>
        <v>0</v>
      </c>
      <c r="J48" s="941">
        <v>0</v>
      </c>
      <c r="K48" s="379">
        <f t="shared" si="11"/>
        <v>25.252525252525253</v>
      </c>
      <c r="L48" s="382">
        <f t="shared" si="12"/>
        <v>12.5</v>
      </c>
    </row>
    <row r="49" spans="2:14" ht="20.100000000000001" customHeight="1" x14ac:dyDescent="0.2">
      <c r="B49" s="378" t="s">
        <v>570</v>
      </c>
      <c r="C49" s="379">
        <f t="shared" si="7"/>
        <v>5.8823529411764701</v>
      </c>
      <c r="D49" s="380">
        <v>2</v>
      </c>
      <c r="E49" s="379">
        <f t="shared" si="8"/>
        <v>5.5555555555555554</v>
      </c>
      <c r="F49" s="381">
        <v>0.5</v>
      </c>
      <c r="G49" s="379">
        <f t="shared" si="9"/>
        <v>0</v>
      </c>
      <c r="H49" s="381">
        <v>0</v>
      </c>
      <c r="I49" s="379">
        <f t="shared" si="10"/>
        <v>0</v>
      </c>
      <c r="J49" s="941">
        <v>0</v>
      </c>
      <c r="K49" s="379">
        <f t="shared" si="11"/>
        <v>5.0505050505050502</v>
      </c>
      <c r="L49" s="382">
        <f t="shared" si="12"/>
        <v>2.5</v>
      </c>
    </row>
    <row r="50" spans="2:14" ht="20.100000000000001" customHeight="1" x14ac:dyDescent="0.2">
      <c r="B50" s="378" t="s">
        <v>668</v>
      </c>
      <c r="C50" s="379">
        <f t="shared" si="7"/>
        <v>11.76470588235294</v>
      </c>
      <c r="D50" s="380">
        <v>4</v>
      </c>
      <c r="E50" s="379">
        <f t="shared" si="8"/>
        <v>0</v>
      </c>
      <c r="F50" s="381">
        <v>0</v>
      </c>
      <c r="G50" s="379">
        <f t="shared" si="9"/>
        <v>0</v>
      </c>
      <c r="H50" s="381">
        <v>0</v>
      </c>
      <c r="I50" s="379">
        <f t="shared" si="10"/>
        <v>0</v>
      </c>
      <c r="J50" s="941">
        <v>0</v>
      </c>
      <c r="K50" s="379">
        <f t="shared" si="11"/>
        <v>8.0808080808080813</v>
      </c>
      <c r="L50" s="382">
        <f t="shared" si="12"/>
        <v>4</v>
      </c>
    </row>
    <row r="51" spans="2:14" ht="20.100000000000001" customHeight="1" x14ac:dyDescent="0.2">
      <c r="B51" s="378" t="s">
        <v>453</v>
      </c>
      <c r="C51" s="379">
        <f t="shared" si="7"/>
        <v>26.47058823529412</v>
      </c>
      <c r="D51" s="380">
        <v>9</v>
      </c>
      <c r="E51" s="379">
        <f t="shared" si="8"/>
        <v>50</v>
      </c>
      <c r="F51" s="381">
        <v>4.5</v>
      </c>
      <c r="G51" s="379">
        <f t="shared" si="9"/>
        <v>30.76923076923077</v>
      </c>
      <c r="H51" s="381">
        <v>2</v>
      </c>
      <c r="I51" s="379">
        <f t="shared" si="10"/>
        <v>0</v>
      </c>
      <c r="J51" s="941">
        <v>0</v>
      </c>
      <c r="K51" s="379">
        <f t="shared" si="11"/>
        <v>31.313131313131315</v>
      </c>
      <c r="L51" s="382">
        <f t="shared" si="12"/>
        <v>15.5</v>
      </c>
    </row>
    <row r="52" spans="2:14" ht="20.100000000000001" customHeight="1" x14ac:dyDescent="0.2">
      <c r="B52" s="378" t="s">
        <v>719</v>
      </c>
      <c r="C52" s="379">
        <f t="shared" si="7"/>
        <v>8.8235294117647065</v>
      </c>
      <c r="D52" s="380">
        <v>3</v>
      </c>
      <c r="E52" s="379">
        <f t="shared" si="8"/>
        <v>22.222222222222221</v>
      </c>
      <c r="F52" s="381">
        <v>2</v>
      </c>
      <c r="G52" s="379">
        <f t="shared" si="9"/>
        <v>7.6923076923076925</v>
      </c>
      <c r="H52" s="381">
        <v>0.5</v>
      </c>
      <c r="I52" s="379">
        <f t="shared" si="10"/>
        <v>0</v>
      </c>
      <c r="J52" s="941">
        <v>0</v>
      </c>
      <c r="K52" s="379">
        <f t="shared" si="11"/>
        <v>11.111111111111111</v>
      </c>
      <c r="L52" s="382">
        <f t="shared" si="12"/>
        <v>5.5</v>
      </c>
    </row>
    <row r="53" spans="2:14" ht="20.100000000000001" customHeight="1" x14ac:dyDescent="0.2">
      <c r="B53" s="384" t="s">
        <v>628</v>
      </c>
      <c r="C53" s="385">
        <f t="shared" si="7"/>
        <v>5.8823529411764701</v>
      </c>
      <c r="D53" s="386">
        <v>2</v>
      </c>
      <c r="E53" s="379">
        <f t="shared" si="8"/>
        <v>11.111111111111111</v>
      </c>
      <c r="F53" s="387">
        <v>1</v>
      </c>
      <c r="G53" s="385">
        <f t="shared" si="9"/>
        <v>61.53846153846154</v>
      </c>
      <c r="H53" s="387">
        <v>4</v>
      </c>
      <c r="I53" s="385">
        <f t="shared" si="10"/>
        <v>0</v>
      </c>
      <c r="J53" s="942">
        <v>0</v>
      </c>
      <c r="K53" s="385">
        <f t="shared" si="11"/>
        <v>14.14141414141414</v>
      </c>
      <c r="L53" s="404">
        <f t="shared" si="12"/>
        <v>7</v>
      </c>
    </row>
    <row r="54" spans="2:14" ht="20.100000000000001" customHeight="1" thickBot="1" x14ac:dyDescent="0.25">
      <c r="B54" s="388" t="s">
        <v>529</v>
      </c>
      <c r="C54" s="392">
        <f t="shared" ref="C54:L54" si="13">SUM(C47:C53)</f>
        <v>100</v>
      </c>
      <c r="D54" s="390">
        <f t="shared" si="13"/>
        <v>34</v>
      </c>
      <c r="E54" s="391">
        <f t="shared" si="13"/>
        <v>100</v>
      </c>
      <c r="F54" s="390">
        <f t="shared" si="13"/>
        <v>9</v>
      </c>
      <c r="G54" s="392">
        <f t="shared" si="13"/>
        <v>100</v>
      </c>
      <c r="H54" s="420">
        <f t="shared" si="13"/>
        <v>6.5</v>
      </c>
      <c r="I54" s="392">
        <f t="shared" si="13"/>
        <v>0</v>
      </c>
      <c r="J54" s="420">
        <f t="shared" si="13"/>
        <v>0</v>
      </c>
      <c r="K54" s="392">
        <f t="shared" si="13"/>
        <v>100.00000000000001</v>
      </c>
      <c r="L54" s="393">
        <f t="shared" si="13"/>
        <v>49.5</v>
      </c>
    </row>
    <row r="55" spans="2:14" ht="3.95" customHeight="1" thickTop="1" x14ac:dyDescent="0.2">
      <c r="B55" s="375"/>
      <c r="C55" s="371"/>
      <c r="D55" s="394"/>
      <c r="E55" s="371"/>
      <c r="F55" s="394"/>
      <c r="G55" s="371"/>
      <c r="H55" s="394"/>
      <c r="I55" s="371"/>
      <c r="J55" s="394"/>
      <c r="K55" s="371"/>
      <c r="L55" s="394"/>
    </row>
    <row r="56" spans="2:14" ht="17.100000000000001" customHeight="1" x14ac:dyDescent="0.2">
      <c r="B56" s="375"/>
      <c r="C56" s="371"/>
      <c r="D56" s="394"/>
      <c r="E56" s="371"/>
      <c r="F56" s="394"/>
      <c r="G56" s="371"/>
      <c r="H56" s="940" t="str">
        <f>IF('Interne Berechunung'!P25&gt;1,"Regenwassernutzung &gt; verfügbare Regenwassermenge!","")</f>
        <v/>
      </c>
      <c r="I56" s="371"/>
      <c r="J56" s="394"/>
      <c r="K56" s="371"/>
      <c r="L56" s="394"/>
    </row>
    <row r="57" spans="2:14" ht="17.100000000000001" customHeight="1" x14ac:dyDescent="0.25">
      <c r="B57" s="352" t="s">
        <v>768</v>
      </c>
      <c r="C57" s="339"/>
      <c r="D57" s="339"/>
      <c r="E57" s="339"/>
      <c r="F57" s="339"/>
      <c r="G57" s="339"/>
      <c r="H57" s="339"/>
      <c r="I57" s="339"/>
      <c r="J57" s="339"/>
      <c r="K57" s="339"/>
      <c r="L57" s="339"/>
    </row>
    <row r="58" spans="2:14" ht="17.100000000000001" customHeight="1" x14ac:dyDescent="0.25">
      <c r="B58" s="347"/>
    </row>
    <row r="59" spans="2:14" ht="3.95" customHeight="1" thickBot="1" x14ac:dyDescent="0.25">
      <c r="B59" s="343"/>
    </row>
    <row r="60" spans="2:14" ht="20.100000000000001" customHeight="1" thickTop="1" x14ac:dyDescent="0.2">
      <c r="B60" s="976" t="s">
        <v>38</v>
      </c>
      <c r="C60" s="977"/>
      <c r="D60" s="712">
        <v>5000</v>
      </c>
      <c r="E60" s="977" t="s">
        <v>96</v>
      </c>
      <c r="F60" s="977"/>
      <c r="G60" s="977"/>
      <c r="H60" s="715">
        <v>650</v>
      </c>
      <c r="I60" s="977" t="s">
        <v>25</v>
      </c>
      <c r="J60" s="977"/>
      <c r="K60" s="977"/>
      <c r="L60" s="987" t="s">
        <v>916</v>
      </c>
      <c r="M60" s="986"/>
      <c r="N60" s="986"/>
    </row>
    <row r="61" spans="2:14" ht="20.100000000000001" customHeight="1" x14ac:dyDescent="0.2">
      <c r="B61" s="973" t="s">
        <v>39</v>
      </c>
      <c r="C61" s="974"/>
      <c r="D61" s="713">
        <v>0.35</v>
      </c>
      <c r="E61" s="974" t="s">
        <v>97</v>
      </c>
      <c r="F61" s="974"/>
      <c r="G61" s="974"/>
      <c r="H61" s="716">
        <v>0.8</v>
      </c>
      <c r="I61" s="974" t="s">
        <v>26</v>
      </c>
      <c r="J61" s="974"/>
      <c r="K61" s="974"/>
      <c r="L61" s="988"/>
      <c r="M61" s="986"/>
      <c r="N61" s="986"/>
    </row>
    <row r="62" spans="2:14" ht="20.100000000000001" customHeight="1" x14ac:dyDescent="0.2">
      <c r="B62" s="968" t="s">
        <v>95</v>
      </c>
      <c r="C62" s="969"/>
      <c r="D62" s="708">
        <f>D60*D61</f>
        <v>1750</v>
      </c>
      <c r="E62" s="969" t="s">
        <v>736</v>
      </c>
      <c r="F62" s="969"/>
      <c r="G62" s="969"/>
      <c r="H62" s="717">
        <v>2000</v>
      </c>
      <c r="I62" s="969" t="s">
        <v>70</v>
      </c>
      <c r="J62" s="969"/>
      <c r="K62" s="969"/>
      <c r="L62" s="989"/>
      <c r="M62" s="986"/>
      <c r="N62" s="986"/>
    </row>
    <row r="63" spans="2:14" ht="20.100000000000001" customHeight="1" x14ac:dyDescent="0.2">
      <c r="B63" s="985" t="s">
        <v>71</v>
      </c>
      <c r="C63" s="970"/>
      <c r="D63" s="783">
        <f>D42</f>
        <v>75</v>
      </c>
      <c r="E63" s="970" t="s">
        <v>17</v>
      </c>
      <c r="F63" s="970"/>
      <c r="G63" s="970"/>
      <c r="H63" s="709">
        <f>D60*D63</f>
        <v>375000</v>
      </c>
      <c r="I63" s="970" t="s">
        <v>80</v>
      </c>
      <c r="J63" s="970"/>
      <c r="K63" s="970"/>
      <c r="L63" s="711">
        <f>H63+H64*L64</f>
        <v>450000</v>
      </c>
    </row>
    <row r="64" spans="2:14" ht="20.100000000000001" customHeight="1" x14ac:dyDescent="0.2">
      <c r="B64" s="968" t="s">
        <v>72</v>
      </c>
      <c r="C64" s="969"/>
      <c r="D64" s="783">
        <f>D43</f>
        <v>30</v>
      </c>
      <c r="E64" s="969" t="s">
        <v>79</v>
      </c>
      <c r="F64" s="969"/>
      <c r="G64" s="969"/>
      <c r="H64" s="710">
        <f>D60*D64</f>
        <v>150000</v>
      </c>
      <c r="I64" s="969" t="s">
        <v>81</v>
      </c>
      <c r="J64" s="969"/>
      <c r="K64" s="969"/>
      <c r="L64" s="720">
        <v>0.5</v>
      </c>
    </row>
    <row r="65" spans="2:12" ht="20.100000000000001" customHeight="1" x14ac:dyDescent="0.2">
      <c r="B65" s="376" t="s">
        <v>525</v>
      </c>
      <c r="C65" s="982" t="s">
        <v>114</v>
      </c>
      <c r="D65" s="983"/>
      <c r="E65" s="983"/>
      <c r="F65" s="984"/>
      <c r="G65" s="979" t="s">
        <v>394</v>
      </c>
      <c r="H65" s="980"/>
      <c r="I65" s="979" t="s">
        <v>589</v>
      </c>
      <c r="J65" s="980"/>
      <c r="K65" s="979" t="s">
        <v>82</v>
      </c>
      <c r="L65" s="981"/>
    </row>
    <row r="66" spans="2:12" ht="20.100000000000001" customHeight="1" x14ac:dyDescent="0.2">
      <c r="B66" s="376"/>
      <c r="C66" s="971" t="s">
        <v>219</v>
      </c>
      <c r="D66" s="978"/>
      <c r="E66" s="971" t="s">
        <v>220</v>
      </c>
      <c r="F66" s="975"/>
      <c r="G66" s="971" t="s">
        <v>221</v>
      </c>
      <c r="H66" s="975"/>
      <c r="I66" s="971" t="s">
        <v>221</v>
      </c>
      <c r="J66" s="975"/>
      <c r="K66" s="971" t="s">
        <v>221</v>
      </c>
      <c r="L66" s="972"/>
    </row>
    <row r="67" spans="2:12" ht="30" customHeight="1" x14ac:dyDescent="0.2">
      <c r="B67" s="376" t="s">
        <v>536</v>
      </c>
      <c r="C67" s="779" t="s">
        <v>537</v>
      </c>
      <c r="D67" s="747" t="s">
        <v>737</v>
      </c>
      <c r="E67" s="779" t="s">
        <v>537</v>
      </c>
      <c r="F67" s="744" t="s">
        <v>735</v>
      </c>
      <c r="G67" s="779" t="s">
        <v>537</v>
      </c>
      <c r="H67" s="745" t="s">
        <v>854</v>
      </c>
      <c r="I67" s="779" t="s">
        <v>537</v>
      </c>
      <c r="J67" s="745" t="s">
        <v>854</v>
      </c>
      <c r="K67" s="779" t="s">
        <v>537</v>
      </c>
      <c r="L67" s="746" t="s">
        <v>854</v>
      </c>
    </row>
    <row r="68" spans="2:12" ht="20.100000000000001" customHeight="1" x14ac:dyDescent="0.2">
      <c r="B68" s="378" t="s">
        <v>718</v>
      </c>
      <c r="C68" s="379">
        <f t="shared" ref="C68:C74" si="14">IF(D68=0,0,D68/$D$75*100)</f>
        <v>12.5</v>
      </c>
      <c r="D68" s="380">
        <v>2</v>
      </c>
      <c r="E68" s="379">
        <f t="shared" ref="E68:E74" si="15">IF(F68=0,0,F68/$F$75*100)</f>
        <v>33.333333333333329</v>
      </c>
      <c r="F68" s="381">
        <v>0.5</v>
      </c>
      <c r="G68" s="379">
        <f t="shared" ref="G68:G74" si="16">IF(H68=0,0,H68/$H$75*100)</f>
        <v>0</v>
      </c>
      <c r="H68" s="381">
        <v>0</v>
      </c>
      <c r="I68" s="379">
        <f t="shared" ref="I68:I74" si="17">IF(J68=0,0,J68/$J$75*100)</f>
        <v>0</v>
      </c>
      <c r="J68" s="381">
        <v>0</v>
      </c>
      <c r="K68" s="379">
        <f t="shared" ref="K68:K74" si="18">IF(L68=0,0,L68/$L$75*100)</f>
        <v>6.756756756756757</v>
      </c>
      <c r="L68" s="382">
        <f t="shared" ref="L68:L74" si="19">D68+F68+H68+J68</f>
        <v>2.5</v>
      </c>
    </row>
    <row r="69" spans="2:12" ht="20.100000000000001" customHeight="1" x14ac:dyDescent="0.2">
      <c r="B69" s="378" t="s">
        <v>455</v>
      </c>
      <c r="C69" s="379">
        <f t="shared" si="14"/>
        <v>75</v>
      </c>
      <c r="D69" s="380">
        <v>12</v>
      </c>
      <c r="E69" s="379">
        <f t="shared" si="15"/>
        <v>33.333333333333329</v>
      </c>
      <c r="F69" s="381">
        <v>0.5</v>
      </c>
      <c r="G69" s="379">
        <f t="shared" si="16"/>
        <v>0</v>
      </c>
      <c r="H69" s="381">
        <v>0</v>
      </c>
      <c r="I69" s="379">
        <f t="shared" si="17"/>
        <v>0</v>
      </c>
      <c r="J69" s="381">
        <v>0</v>
      </c>
      <c r="K69" s="379">
        <f t="shared" si="18"/>
        <v>33.783783783783782</v>
      </c>
      <c r="L69" s="382">
        <f t="shared" si="19"/>
        <v>12.5</v>
      </c>
    </row>
    <row r="70" spans="2:12" ht="20.100000000000001" customHeight="1" x14ac:dyDescent="0.2">
      <c r="B70" s="378" t="s">
        <v>570</v>
      </c>
      <c r="C70" s="379">
        <f t="shared" si="14"/>
        <v>12.5</v>
      </c>
      <c r="D70" s="380">
        <v>2</v>
      </c>
      <c r="E70" s="379">
        <f t="shared" si="15"/>
        <v>33.333333333333329</v>
      </c>
      <c r="F70" s="381">
        <v>0.5</v>
      </c>
      <c r="G70" s="379">
        <f t="shared" si="16"/>
        <v>0</v>
      </c>
      <c r="H70" s="381">
        <v>0</v>
      </c>
      <c r="I70" s="379">
        <f t="shared" si="17"/>
        <v>0</v>
      </c>
      <c r="J70" s="381">
        <v>0</v>
      </c>
      <c r="K70" s="379">
        <f t="shared" si="18"/>
        <v>6.756756756756757</v>
      </c>
      <c r="L70" s="382">
        <f t="shared" si="19"/>
        <v>2.5</v>
      </c>
    </row>
    <row r="71" spans="2:12" ht="20.100000000000001" customHeight="1" x14ac:dyDescent="0.2">
      <c r="B71" s="378" t="s">
        <v>668</v>
      </c>
      <c r="C71" s="379">
        <f t="shared" si="14"/>
        <v>0</v>
      </c>
      <c r="D71" s="380">
        <v>0</v>
      </c>
      <c r="E71" s="379">
        <f t="shared" si="15"/>
        <v>0</v>
      </c>
      <c r="F71" s="381">
        <v>0</v>
      </c>
      <c r="G71" s="379">
        <f t="shared" si="16"/>
        <v>12.5</v>
      </c>
      <c r="H71" s="381">
        <v>1</v>
      </c>
      <c r="I71" s="379">
        <f t="shared" si="17"/>
        <v>26.086956521739129</v>
      </c>
      <c r="J71" s="381">
        <v>3</v>
      </c>
      <c r="K71" s="379">
        <f t="shared" si="18"/>
        <v>10.810810810810811</v>
      </c>
      <c r="L71" s="382">
        <f t="shared" si="19"/>
        <v>4</v>
      </c>
    </row>
    <row r="72" spans="2:12" ht="20.100000000000001" customHeight="1" x14ac:dyDescent="0.2">
      <c r="B72" s="378" t="s">
        <v>453</v>
      </c>
      <c r="C72" s="379">
        <f t="shared" si="14"/>
        <v>0</v>
      </c>
      <c r="D72" s="380">
        <v>0</v>
      </c>
      <c r="E72" s="379">
        <f t="shared" si="15"/>
        <v>0</v>
      </c>
      <c r="F72" s="381">
        <v>0</v>
      </c>
      <c r="G72" s="379">
        <f t="shared" si="16"/>
        <v>12.5</v>
      </c>
      <c r="H72" s="381">
        <v>1</v>
      </c>
      <c r="I72" s="379">
        <f t="shared" si="17"/>
        <v>17.391304347826086</v>
      </c>
      <c r="J72" s="381">
        <v>2</v>
      </c>
      <c r="K72" s="379">
        <f t="shared" si="18"/>
        <v>8.1081081081081088</v>
      </c>
      <c r="L72" s="382">
        <f t="shared" si="19"/>
        <v>3</v>
      </c>
    </row>
    <row r="73" spans="2:12" ht="20.100000000000001" customHeight="1" x14ac:dyDescent="0.2">
      <c r="B73" s="378" t="s">
        <v>719</v>
      </c>
      <c r="C73" s="379">
        <f t="shared" si="14"/>
        <v>0</v>
      </c>
      <c r="D73" s="380">
        <v>0</v>
      </c>
      <c r="E73" s="379">
        <f t="shared" si="15"/>
        <v>0</v>
      </c>
      <c r="F73" s="381">
        <v>0</v>
      </c>
      <c r="G73" s="379">
        <f t="shared" si="16"/>
        <v>12.5</v>
      </c>
      <c r="H73" s="381">
        <v>1</v>
      </c>
      <c r="I73" s="379">
        <f t="shared" si="17"/>
        <v>39.130434782608695</v>
      </c>
      <c r="J73" s="381">
        <v>4.5</v>
      </c>
      <c r="K73" s="379">
        <f t="shared" si="18"/>
        <v>14.864864864864865</v>
      </c>
      <c r="L73" s="382">
        <f t="shared" si="19"/>
        <v>5.5</v>
      </c>
    </row>
    <row r="74" spans="2:12" ht="20.100000000000001" customHeight="1" x14ac:dyDescent="0.2">
      <c r="B74" s="384" t="s">
        <v>628</v>
      </c>
      <c r="C74" s="385">
        <f t="shared" si="14"/>
        <v>0</v>
      </c>
      <c r="D74" s="386">
        <v>0</v>
      </c>
      <c r="E74" s="379">
        <f t="shared" si="15"/>
        <v>0</v>
      </c>
      <c r="F74" s="387">
        <v>0</v>
      </c>
      <c r="G74" s="385">
        <f t="shared" si="16"/>
        <v>62.5</v>
      </c>
      <c r="H74" s="387">
        <v>5</v>
      </c>
      <c r="I74" s="385">
        <f t="shared" si="17"/>
        <v>17.391304347826086</v>
      </c>
      <c r="J74" s="387">
        <v>2</v>
      </c>
      <c r="K74" s="385">
        <f t="shared" si="18"/>
        <v>18.918918918918919</v>
      </c>
      <c r="L74" s="404">
        <f t="shared" si="19"/>
        <v>7</v>
      </c>
    </row>
    <row r="75" spans="2:12" ht="20.100000000000001" customHeight="1" thickBot="1" x14ac:dyDescent="0.25">
      <c r="B75" s="388" t="s">
        <v>529</v>
      </c>
      <c r="C75" s="392">
        <f t="shared" ref="C75:L75" si="20">SUM(C68:C74)</f>
        <v>100</v>
      </c>
      <c r="D75" s="390">
        <f t="shared" si="20"/>
        <v>16</v>
      </c>
      <c r="E75" s="391">
        <f t="shared" si="20"/>
        <v>99.999999999999986</v>
      </c>
      <c r="F75" s="390">
        <f t="shared" si="20"/>
        <v>1.5</v>
      </c>
      <c r="G75" s="392">
        <f t="shared" si="20"/>
        <v>100</v>
      </c>
      <c r="H75" s="420">
        <f t="shared" si="20"/>
        <v>8</v>
      </c>
      <c r="I75" s="392">
        <f t="shared" si="20"/>
        <v>100</v>
      </c>
      <c r="J75" s="420">
        <f t="shared" si="20"/>
        <v>11.5</v>
      </c>
      <c r="K75" s="392">
        <f t="shared" si="20"/>
        <v>100.00000000000001</v>
      </c>
      <c r="L75" s="393">
        <f t="shared" si="20"/>
        <v>37</v>
      </c>
    </row>
    <row r="76" spans="2:12" ht="3.95" customHeight="1" thickTop="1" x14ac:dyDescent="0.2">
      <c r="B76" s="375"/>
      <c r="C76" s="371"/>
      <c r="D76" s="394"/>
      <c r="E76" s="371"/>
      <c r="F76" s="394"/>
      <c r="G76" s="371"/>
      <c r="H76" s="394"/>
      <c r="I76" s="371"/>
      <c r="J76" s="394"/>
      <c r="K76" s="371"/>
      <c r="L76" s="394"/>
    </row>
    <row r="77" spans="2:12" ht="19.5" customHeight="1" x14ac:dyDescent="0.2">
      <c r="B77" s="343"/>
      <c r="D77" s="348"/>
      <c r="E77" s="349"/>
      <c r="F77" s="350"/>
      <c r="G77" s="351"/>
      <c r="H77" s="940" t="str">
        <f>IF('Interne Berechunung'!AB25&gt;1,"Regenwassernutzung &gt; verfügbare Regenwassermenge!","")</f>
        <v/>
      </c>
    </row>
    <row r="78" spans="2:12" ht="19.5" customHeight="1" x14ac:dyDescent="0.2">
      <c r="C78" s="780"/>
      <c r="D78" s="353"/>
      <c r="J78" s="940" t="str">
        <f>IF('Interne Berechunung'!AC25&gt;1,"Grauwassernutzung &gt; verfügbare Grauwassermenge!","")</f>
        <v/>
      </c>
    </row>
  </sheetData>
  <sheetProtection password="EDC3" sheet="1" objects="1" scenarios="1"/>
  <mergeCells count="82">
    <mergeCell ref="E24:F24"/>
    <mergeCell ref="G24:H24"/>
    <mergeCell ref="C11:L11"/>
    <mergeCell ref="C6:L6"/>
    <mergeCell ref="C7:L7"/>
    <mergeCell ref="C8:L8"/>
    <mergeCell ref="C9:L9"/>
    <mergeCell ref="C10:L10"/>
    <mergeCell ref="B15:L15"/>
    <mergeCell ref="B18:C18"/>
    <mergeCell ref="E18:G18"/>
    <mergeCell ref="I18:K18"/>
    <mergeCell ref="B19:C19"/>
    <mergeCell ref="E19:G19"/>
    <mergeCell ref="I19:K19"/>
    <mergeCell ref="E20:G20"/>
    <mergeCell ref="M60:M62"/>
    <mergeCell ref="N60:N62"/>
    <mergeCell ref="L60:L62"/>
    <mergeCell ref="C66:D66"/>
    <mergeCell ref="E45:F45"/>
    <mergeCell ref="G45:H45"/>
    <mergeCell ref="I64:K64"/>
    <mergeCell ref="I63:K63"/>
    <mergeCell ref="I66:J66"/>
    <mergeCell ref="G66:H66"/>
    <mergeCell ref="K66:L66"/>
    <mergeCell ref="E66:F66"/>
    <mergeCell ref="K65:L65"/>
    <mergeCell ref="I62:K62"/>
    <mergeCell ref="E63:G63"/>
    <mergeCell ref="I45:J45"/>
    <mergeCell ref="C65:F65"/>
    <mergeCell ref="G65:H65"/>
    <mergeCell ref="I65:J65"/>
    <mergeCell ref="B63:C63"/>
    <mergeCell ref="E64:G64"/>
    <mergeCell ref="B64:C64"/>
    <mergeCell ref="B62:C62"/>
    <mergeCell ref="E62:G62"/>
    <mergeCell ref="I42:K42"/>
    <mergeCell ref="I60:K60"/>
    <mergeCell ref="C45:D45"/>
    <mergeCell ref="B42:C42"/>
    <mergeCell ref="C44:F44"/>
    <mergeCell ref="G44:H44"/>
    <mergeCell ref="I44:J44"/>
    <mergeCell ref="I61:K61"/>
    <mergeCell ref="B60:C60"/>
    <mergeCell ref="E60:G60"/>
    <mergeCell ref="K45:L45"/>
    <mergeCell ref="B61:C61"/>
    <mergeCell ref="E61:G61"/>
    <mergeCell ref="K44:L44"/>
    <mergeCell ref="I20:K20"/>
    <mergeCell ref="B21:C21"/>
    <mergeCell ref="E21:G21"/>
    <mergeCell ref="I21:K21"/>
    <mergeCell ref="B20:C20"/>
    <mergeCell ref="E22:G22"/>
    <mergeCell ref="I22:K22"/>
    <mergeCell ref="I23:J23"/>
    <mergeCell ref="K23:L23"/>
    <mergeCell ref="B22:C22"/>
    <mergeCell ref="C23:F23"/>
    <mergeCell ref="G23:H23"/>
    <mergeCell ref="B43:C43"/>
    <mergeCell ref="E43:G43"/>
    <mergeCell ref="I43:K43"/>
    <mergeCell ref="E42:G42"/>
    <mergeCell ref="K24:L24"/>
    <mergeCell ref="B41:C41"/>
    <mergeCell ref="E41:G41"/>
    <mergeCell ref="I41:K41"/>
    <mergeCell ref="B40:C40"/>
    <mergeCell ref="E40:G40"/>
    <mergeCell ref="I40:K40"/>
    <mergeCell ref="I24:J24"/>
    <mergeCell ref="B39:C39"/>
    <mergeCell ref="I39:K39"/>
    <mergeCell ref="E39:G39"/>
    <mergeCell ref="C24:D24"/>
  </mergeCells>
  <phoneticPr fontId="39" type="noConversion"/>
  <pageMargins left="0.98" right="0.2" top="0.79000000000000015" bottom="0.2" header="0.5" footer="0.5"/>
  <pageSetup paperSize="0" orientation="portrait" horizontalDpi="300" verticalDpi="300" r:id="rId1"/>
  <headerFooter>
    <oddHeader>&amp;CBilanzierung kommunaler Wasserinfrastrukturen - BkW</oddHeader>
    <oddFooter>Seite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B1:M18"/>
  <sheetViews>
    <sheetView zoomScale="125" workbookViewId="0">
      <selection activeCell="B2" sqref="B2:M2"/>
    </sheetView>
  </sheetViews>
  <sheetFormatPr baseColWidth="10" defaultColWidth="10.85546875" defaultRowHeight="14.25" x14ac:dyDescent="0.2"/>
  <cols>
    <col min="1" max="1" width="0.42578125" style="281" customWidth="1"/>
    <col min="2" max="2" width="16" style="281" customWidth="1"/>
    <col min="3" max="16384" width="10.85546875" style="281"/>
  </cols>
  <sheetData>
    <row r="1" spans="2:13" ht="2.1" customHeight="1" x14ac:dyDescent="0.2"/>
    <row r="2" spans="2:13" ht="15" x14ac:dyDescent="0.25">
      <c r="B2" s="1062" t="s">
        <v>318</v>
      </c>
      <c r="C2" s="1062"/>
      <c r="D2" s="1062"/>
      <c r="E2" s="1062"/>
      <c r="F2" s="1062"/>
      <c r="G2" s="1062"/>
      <c r="H2" s="1062"/>
      <c r="I2" s="1062"/>
      <c r="J2" s="1062"/>
      <c r="K2" s="1062"/>
      <c r="L2" s="1062"/>
      <c r="M2" s="1062"/>
    </row>
    <row r="4" spans="2:13" ht="30" customHeight="1" x14ac:dyDescent="0.2">
      <c r="B4" s="336" t="s">
        <v>655</v>
      </c>
      <c r="C4" s="1061" t="s">
        <v>317</v>
      </c>
      <c r="D4" s="1061"/>
      <c r="E4" s="1061"/>
      <c r="F4" s="1061"/>
      <c r="G4" s="1061"/>
      <c r="H4" s="1061"/>
      <c r="I4" s="1061"/>
      <c r="J4" s="1061"/>
      <c r="K4" s="1061"/>
      <c r="L4" s="1061"/>
      <c r="M4" s="1061"/>
    </row>
    <row r="5" spans="2:13" ht="30" customHeight="1" x14ac:dyDescent="0.2">
      <c r="B5" s="336" t="s">
        <v>825</v>
      </c>
      <c r="C5" s="1061" t="s">
        <v>591</v>
      </c>
      <c r="D5" s="1061"/>
      <c r="E5" s="1061"/>
      <c r="F5" s="1061"/>
      <c r="G5" s="1061"/>
      <c r="H5" s="1061"/>
      <c r="I5" s="1061"/>
      <c r="J5" s="1061"/>
      <c r="K5" s="1061"/>
      <c r="L5" s="1061"/>
      <c r="M5" s="1061"/>
    </row>
    <row r="6" spans="2:13" ht="30" customHeight="1" x14ac:dyDescent="0.2">
      <c r="B6" s="336" t="s">
        <v>822</v>
      </c>
      <c r="C6" s="1061" t="s">
        <v>225</v>
      </c>
      <c r="D6" s="1061"/>
      <c r="E6" s="1061"/>
      <c r="F6" s="1061"/>
      <c r="G6" s="1061"/>
      <c r="H6" s="1061"/>
      <c r="I6" s="1061"/>
      <c r="J6" s="1061"/>
      <c r="K6" s="1061"/>
      <c r="L6" s="1061"/>
      <c r="M6" s="1061"/>
    </row>
    <row r="7" spans="2:13" ht="30" customHeight="1" x14ac:dyDescent="0.2">
      <c r="B7" s="336" t="s">
        <v>319</v>
      </c>
      <c r="C7" s="1061" t="s">
        <v>196</v>
      </c>
      <c r="D7" s="1061"/>
      <c r="E7" s="1061"/>
      <c r="F7" s="1061"/>
      <c r="G7" s="1061"/>
      <c r="H7" s="1061"/>
      <c r="I7" s="1061"/>
      <c r="J7" s="1061"/>
      <c r="K7" s="1061"/>
      <c r="L7" s="1061"/>
      <c r="M7" s="1061"/>
    </row>
    <row r="8" spans="2:13" ht="30" customHeight="1" x14ac:dyDescent="0.2">
      <c r="B8" s="336" t="s">
        <v>615</v>
      </c>
      <c r="C8" s="1061" t="s">
        <v>445</v>
      </c>
      <c r="D8" s="1061"/>
      <c r="E8" s="1061"/>
      <c r="F8" s="1061"/>
      <c r="G8" s="1061"/>
      <c r="H8" s="1061"/>
      <c r="I8" s="1061"/>
      <c r="J8" s="1061"/>
      <c r="K8" s="1061"/>
      <c r="L8" s="1061"/>
      <c r="M8" s="1061"/>
    </row>
    <row r="9" spans="2:13" ht="30" customHeight="1" x14ac:dyDescent="0.2">
      <c r="B9" s="336" t="s">
        <v>316</v>
      </c>
      <c r="C9" s="1061" t="s">
        <v>512</v>
      </c>
      <c r="D9" s="1061"/>
      <c r="E9" s="1061"/>
      <c r="F9" s="1061"/>
      <c r="G9" s="1061"/>
      <c r="H9" s="1061"/>
      <c r="I9" s="1061"/>
      <c r="J9" s="1061"/>
      <c r="K9" s="1061"/>
      <c r="L9" s="1061"/>
      <c r="M9" s="1061"/>
    </row>
    <row r="10" spans="2:13" ht="30" customHeight="1" x14ac:dyDescent="0.2">
      <c r="B10" s="336" t="s">
        <v>197</v>
      </c>
      <c r="C10" s="1061" t="s">
        <v>569</v>
      </c>
      <c r="D10" s="1061"/>
      <c r="E10" s="1061"/>
      <c r="F10" s="1061"/>
      <c r="G10" s="1061"/>
      <c r="H10" s="1061"/>
      <c r="I10" s="1061"/>
      <c r="J10" s="1061"/>
      <c r="K10" s="1061"/>
      <c r="L10" s="1061"/>
      <c r="M10" s="1061"/>
    </row>
    <row r="11" spans="2:13" ht="30" customHeight="1" x14ac:dyDescent="0.2">
      <c r="B11" s="336" t="s">
        <v>604</v>
      </c>
      <c r="C11" s="1061" t="s">
        <v>721</v>
      </c>
      <c r="D11" s="1061"/>
      <c r="E11" s="1061"/>
      <c r="F11" s="1061"/>
      <c r="G11" s="1061"/>
      <c r="H11" s="1061"/>
      <c r="I11" s="1061"/>
      <c r="J11" s="1061"/>
      <c r="K11" s="1061"/>
      <c r="L11" s="1061"/>
      <c r="M11" s="1061"/>
    </row>
    <row r="12" spans="2:13" ht="30" customHeight="1" x14ac:dyDescent="0.2">
      <c r="B12" s="336" t="s">
        <v>449</v>
      </c>
      <c r="C12" s="1061" t="s">
        <v>214</v>
      </c>
      <c r="D12" s="1061"/>
      <c r="E12" s="1061"/>
      <c r="F12" s="1061"/>
      <c r="G12" s="1061"/>
      <c r="H12" s="1061"/>
      <c r="I12" s="1061"/>
      <c r="J12" s="1061"/>
      <c r="K12" s="1061"/>
      <c r="L12" s="1061"/>
      <c r="M12" s="1061"/>
    </row>
    <row r="13" spans="2:13" ht="30" customHeight="1" x14ac:dyDescent="0.2">
      <c r="B13" s="336" t="s">
        <v>575</v>
      </c>
      <c r="C13" s="1061" t="s">
        <v>461</v>
      </c>
      <c r="D13" s="1061"/>
      <c r="E13" s="1061"/>
      <c r="F13" s="1061"/>
      <c r="G13" s="1061"/>
      <c r="H13" s="1061"/>
      <c r="I13" s="1061"/>
      <c r="J13" s="1061"/>
      <c r="K13" s="1061"/>
      <c r="L13" s="1061"/>
      <c r="M13" s="1061"/>
    </row>
    <row r="14" spans="2:13" ht="30" customHeight="1" x14ac:dyDescent="0.2">
      <c r="B14" s="336" t="s">
        <v>116</v>
      </c>
      <c r="C14" s="1061" t="s">
        <v>381</v>
      </c>
      <c r="D14" s="1061"/>
      <c r="E14" s="1061"/>
      <c r="F14" s="1061"/>
      <c r="G14" s="1061"/>
      <c r="H14" s="1061"/>
      <c r="I14" s="1061"/>
      <c r="J14" s="1061"/>
      <c r="K14" s="1061"/>
      <c r="L14" s="1061"/>
      <c r="M14" s="1061"/>
    </row>
    <row r="15" spans="2:13" ht="30" customHeight="1" x14ac:dyDescent="0.2">
      <c r="B15" s="336" t="s">
        <v>452</v>
      </c>
      <c r="C15" s="1061" t="s">
        <v>364</v>
      </c>
      <c r="D15" s="1061"/>
      <c r="E15" s="1061"/>
      <c r="F15" s="1061"/>
      <c r="G15" s="1061"/>
      <c r="H15" s="1061"/>
      <c r="I15" s="1061"/>
      <c r="J15" s="1061"/>
      <c r="K15" s="1061"/>
      <c r="L15" s="1061"/>
      <c r="M15" s="1061"/>
    </row>
    <row r="16" spans="2:13" ht="30" customHeight="1" x14ac:dyDescent="0.2">
      <c r="B16" s="336" t="s">
        <v>566</v>
      </c>
      <c r="C16" s="1061" t="s">
        <v>433</v>
      </c>
      <c r="D16" s="1061"/>
      <c r="E16" s="1061"/>
      <c r="F16" s="1061"/>
      <c r="G16" s="1061"/>
      <c r="H16" s="1061"/>
      <c r="I16" s="1061"/>
      <c r="J16" s="1061"/>
      <c r="K16" s="1061"/>
      <c r="L16" s="1061"/>
      <c r="M16" s="1061"/>
    </row>
    <row r="17" spans="2:13" ht="30" customHeight="1" x14ac:dyDescent="0.2">
      <c r="B17" s="336" t="s">
        <v>339</v>
      </c>
      <c r="C17" s="1061" t="s">
        <v>535</v>
      </c>
      <c r="D17" s="1061"/>
      <c r="E17" s="1061"/>
      <c r="F17" s="1061"/>
      <c r="G17" s="1061"/>
      <c r="H17" s="1061"/>
      <c r="I17" s="1061"/>
      <c r="J17" s="1061"/>
      <c r="K17" s="1061"/>
      <c r="L17" s="1061"/>
      <c r="M17" s="1061"/>
    </row>
    <row r="18" spans="2:13" ht="30" customHeight="1" x14ac:dyDescent="0.2">
      <c r="B18" s="336" t="s">
        <v>365</v>
      </c>
      <c r="C18" s="1061" t="s">
        <v>366</v>
      </c>
      <c r="D18" s="1061"/>
      <c r="E18" s="1061"/>
      <c r="F18" s="1061"/>
      <c r="G18" s="1061"/>
      <c r="H18" s="1061"/>
      <c r="I18" s="1061"/>
      <c r="J18" s="1061"/>
      <c r="K18" s="1061"/>
      <c r="L18" s="1061"/>
      <c r="M18" s="1061"/>
    </row>
  </sheetData>
  <mergeCells count="16">
    <mergeCell ref="C9:M9"/>
    <mergeCell ref="C4:M4"/>
    <mergeCell ref="B2:M2"/>
    <mergeCell ref="C5:M5"/>
    <mergeCell ref="C6:M6"/>
    <mergeCell ref="C7:M7"/>
    <mergeCell ref="C8:M8"/>
    <mergeCell ref="C16:M16"/>
    <mergeCell ref="C17:M17"/>
    <mergeCell ref="C18:M18"/>
    <mergeCell ref="C10:M10"/>
    <mergeCell ref="C11:M11"/>
    <mergeCell ref="C12:M12"/>
    <mergeCell ref="C13:M13"/>
    <mergeCell ref="C14:M14"/>
    <mergeCell ref="C15:M15"/>
  </mergeCells>
  <phoneticPr fontId="39" type="noConversion"/>
  <pageMargins left="0.2" right="0.79000000000000015" top="1" bottom="0.2" header="0.49" footer="0.49"/>
  <headerFooter>
    <oddHeader>&amp;CBilanzierung kommunaler Wasserinfrastrukturen - BkW</oddHeader>
    <oddFooter>Seite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rgb="FFFFFF00"/>
    <pageSetUpPr fitToPage="1"/>
  </sheetPr>
  <dimension ref="A1:J71"/>
  <sheetViews>
    <sheetView workbookViewId="0">
      <selection activeCell="B2" sqref="B2"/>
    </sheetView>
  </sheetViews>
  <sheetFormatPr baseColWidth="10" defaultColWidth="16.28515625" defaultRowHeight="14.25" x14ac:dyDescent="0.2"/>
  <cols>
    <col min="1" max="1" width="0.7109375" style="354" customWidth="1"/>
    <col min="2" max="2" width="16.140625" style="354" customWidth="1"/>
    <col min="3" max="3" width="29.7109375" style="354" customWidth="1"/>
    <col min="4" max="4" width="11.42578125" style="354" customWidth="1"/>
    <col min="5" max="6" width="9" style="354" customWidth="1"/>
    <col min="7" max="7" width="10.85546875" style="354" customWidth="1"/>
    <col min="8" max="8" width="41.85546875" style="354" customWidth="1"/>
    <col min="9" max="9" width="0.7109375" style="354" customWidth="1"/>
    <col min="10" max="16384" width="16.28515625" style="354"/>
  </cols>
  <sheetData>
    <row r="1" spans="2:8" ht="3.95" customHeight="1" x14ac:dyDescent="0.2"/>
    <row r="2" spans="2:8" s="337" customFormat="1" ht="14.1" customHeight="1" x14ac:dyDescent="0.25">
      <c r="B2" s="338" t="s">
        <v>234</v>
      </c>
      <c r="C2" s="339"/>
      <c r="D2" s="338"/>
      <c r="E2" s="339"/>
      <c r="F2" s="339"/>
      <c r="G2" s="339"/>
      <c r="H2" s="339"/>
    </row>
    <row r="3" spans="2:8" s="337" customFormat="1" ht="14.1" customHeight="1" x14ac:dyDescent="0.25">
      <c r="B3" s="340"/>
    </row>
    <row r="4" spans="2:8" s="337" customFormat="1" ht="14.1" customHeight="1" x14ac:dyDescent="0.25">
      <c r="B4" s="340" t="s">
        <v>235</v>
      </c>
    </row>
    <row r="5" spans="2:8" s="337" customFormat="1" ht="14.1" customHeight="1" x14ac:dyDescent="0.25">
      <c r="B5" s="341"/>
      <c r="C5" s="780" t="s">
        <v>351</v>
      </c>
      <c r="D5" s="780"/>
      <c r="E5" s="780"/>
      <c r="F5" s="780"/>
      <c r="G5" s="780"/>
      <c r="H5" s="780"/>
    </row>
    <row r="6" spans="2:8" s="337" customFormat="1" ht="14.1" customHeight="1" x14ac:dyDescent="0.25">
      <c r="B6" s="340"/>
      <c r="C6" s="780"/>
      <c r="D6" s="780"/>
      <c r="E6" s="780"/>
      <c r="F6" s="780"/>
      <c r="G6" s="780"/>
      <c r="H6" s="780"/>
    </row>
    <row r="7" spans="2:8" s="337" customFormat="1" ht="3.95" customHeight="1" thickBot="1" x14ac:dyDescent="0.3">
      <c r="B7" s="347"/>
      <c r="C7" s="780"/>
      <c r="D7" s="780"/>
      <c r="E7" s="780"/>
      <c r="F7" s="780"/>
      <c r="G7" s="780"/>
      <c r="H7" s="780"/>
    </row>
    <row r="8" spans="2:8" ht="14.1" customHeight="1" thickTop="1" x14ac:dyDescent="0.25">
      <c r="B8" s="355" t="s">
        <v>728</v>
      </c>
      <c r="C8" s="781" t="s">
        <v>730</v>
      </c>
      <c r="D8" s="356" t="s">
        <v>236</v>
      </c>
      <c r="E8" s="993" t="s">
        <v>303</v>
      </c>
      <c r="F8" s="994"/>
      <c r="G8" s="995"/>
      <c r="H8" s="485" t="s">
        <v>239</v>
      </c>
    </row>
    <row r="9" spans="2:8" ht="44.1" customHeight="1" x14ac:dyDescent="0.25">
      <c r="B9" s="357"/>
      <c r="C9" s="358"/>
      <c r="D9" s="454"/>
      <c r="E9" s="482" t="s">
        <v>335</v>
      </c>
      <c r="F9" s="483" t="s">
        <v>103</v>
      </c>
      <c r="G9" s="484" t="s">
        <v>336</v>
      </c>
      <c r="H9" s="486"/>
    </row>
    <row r="10" spans="2:8" ht="15" customHeight="1" x14ac:dyDescent="0.2">
      <c r="B10" s="487" t="s">
        <v>194</v>
      </c>
      <c r="C10" s="366" t="s">
        <v>195</v>
      </c>
      <c r="D10" s="488" t="s">
        <v>476</v>
      </c>
      <c r="E10" s="828">
        <v>-0.5</v>
      </c>
      <c r="F10" s="829">
        <v>-0.5</v>
      </c>
      <c r="G10" s="830">
        <v>-0.5</v>
      </c>
      <c r="H10" s="808" t="s">
        <v>874</v>
      </c>
    </row>
    <row r="11" spans="2:8" ht="15" customHeight="1" x14ac:dyDescent="0.2">
      <c r="B11" s="487"/>
      <c r="C11" s="364" t="s">
        <v>330</v>
      </c>
      <c r="D11" s="489" t="s">
        <v>476</v>
      </c>
      <c r="E11" s="758" t="s">
        <v>139</v>
      </c>
      <c r="F11" s="758" t="s">
        <v>139</v>
      </c>
      <c r="G11" s="831">
        <v>-0.3</v>
      </c>
      <c r="H11" s="809" t="s">
        <v>875</v>
      </c>
    </row>
    <row r="12" spans="2:8" ht="30" customHeight="1" x14ac:dyDescent="0.2">
      <c r="B12" s="487"/>
      <c r="C12" s="366" t="s">
        <v>568</v>
      </c>
      <c r="D12" s="490" t="s">
        <v>345</v>
      </c>
      <c r="E12" s="832">
        <v>-32</v>
      </c>
      <c r="F12" s="832">
        <v>-30</v>
      </c>
      <c r="G12" s="759" t="s">
        <v>139</v>
      </c>
      <c r="H12" s="808" t="s">
        <v>876</v>
      </c>
    </row>
    <row r="13" spans="2:8" ht="15" customHeight="1" x14ac:dyDescent="0.2">
      <c r="B13" s="487"/>
      <c r="C13" s="366" t="s">
        <v>481</v>
      </c>
      <c r="D13" s="492" t="s">
        <v>224</v>
      </c>
      <c r="E13" s="833">
        <v>-0.5</v>
      </c>
      <c r="F13" s="834">
        <v>-1</v>
      </c>
      <c r="G13" s="760" t="s">
        <v>139</v>
      </c>
      <c r="H13" s="811" t="s">
        <v>877</v>
      </c>
    </row>
    <row r="14" spans="2:8" ht="15" customHeight="1" x14ac:dyDescent="0.2">
      <c r="B14" s="487"/>
      <c r="C14" s="366" t="s">
        <v>204</v>
      </c>
      <c r="D14" s="492" t="s">
        <v>224</v>
      </c>
      <c r="E14" s="761" t="s">
        <v>139</v>
      </c>
      <c r="F14" s="834">
        <v>-0.5</v>
      </c>
      <c r="G14" s="830">
        <v>-0.5</v>
      </c>
      <c r="H14" s="811" t="s">
        <v>878</v>
      </c>
    </row>
    <row r="15" spans="2:8" ht="15" customHeight="1" x14ac:dyDescent="0.2">
      <c r="B15" s="487"/>
      <c r="C15" s="366" t="s">
        <v>480</v>
      </c>
      <c r="D15" s="492" t="s">
        <v>224</v>
      </c>
      <c r="E15" s="762" t="s">
        <v>139</v>
      </c>
      <c r="F15" s="759" t="s">
        <v>139</v>
      </c>
      <c r="G15" s="830">
        <v>-0.6</v>
      </c>
      <c r="H15" s="811" t="s">
        <v>879</v>
      </c>
    </row>
    <row r="16" spans="2:8" ht="15" customHeight="1" x14ac:dyDescent="0.2">
      <c r="B16" s="487"/>
      <c r="C16" s="366" t="s">
        <v>301</v>
      </c>
      <c r="D16" s="490" t="s">
        <v>345</v>
      </c>
      <c r="E16" s="762" t="s">
        <v>139</v>
      </c>
      <c r="F16" s="759" t="s">
        <v>139</v>
      </c>
      <c r="G16" s="835">
        <v>-10</v>
      </c>
      <c r="H16" s="811" t="s">
        <v>880</v>
      </c>
    </row>
    <row r="17" spans="2:8" ht="15" customHeight="1" x14ac:dyDescent="0.2">
      <c r="B17" s="487"/>
      <c r="C17" s="366" t="s">
        <v>442</v>
      </c>
      <c r="D17" s="490" t="s">
        <v>345</v>
      </c>
      <c r="E17" s="762" t="s">
        <v>651</v>
      </c>
      <c r="F17" s="759" t="s">
        <v>651</v>
      </c>
      <c r="G17" s="836">
        <v>-10</v>
      </c>
      <c r="H17" s="811" t="s">
        <v>909</v>
      </c>
    </row>
    <row r="18" spans="2:8" ht="15" customHeight="1" x14ac:dyDescent="0.2">
      <c r="B18" s="487"/>
      <c r="C18" s="366" t="s">
        <v>442</v>
      </c>
      <c r="D18" s="490" t="s">
        <v>345</v>
      </c>
      <c r="E18" s="762" t="s">
        <v>651</v>
      </c>
      <c r="F18" s="759" t="s">
        <v>651</v>
      </c>
      <c r="G18" s="836">
        <v>-88</v>
      </c>
      <c r="H18" s="811" t="s">
        <v>881</v>
      </c>
    </row>
    <row r="19" spans="2:8" ht="15" customHeight="1" x14ac:dyDescent="0.2">
      <c r="B19" s="487"/>
      <c r="C19" s="366" t="s">
        <v>222</v>
      </c>
      <c r="D19" s="492" t="s">
        <v>224</v>
      </c>
      <c r="E19" s="762" t="s">
        <v>139</v>
      </c>
      <c r="F19" s="834">
        <v>-1.65</v>
      </c>
      <c r="G19" s="810">
        <v>-1.65</v>
      </c>
      <c r="H19" s="811" t="s">
        <v>882</v>
      </c>
    </row>
    <row r="20" spans="2:8" ht="15" customHeight="1" x14ac:dyDescent="0.2">
      <c r="B20" s="487"/>
      <c r="C20" s="366" t="s">
        <v>222</v>
      </c>
      <c r="D20" s="492" t="s">
        <v>224</v>
      </c>
      <c r="E20" s="762" t="s">
        <v>139</v>
      </c>
      <c r="F20" s="829">
        <v>-9</v>
      </c>
      <c r="G20" s="760">
        <v>-9</v>
      </c>
      <c r="H20" s="811" t="s">
        <v>908</v>
      </c>
    </row>
    <row r="21" spans="2:8" ht="15" customHeight="1" x14ac:dyDescent="0.2">
      <c r="B21" s="487"/>
      <c r="C21" s="366" t="s">
        <v>118</v>
      </c>
      <c r="D21" s="492" t="s">
        <v>119</v>
      </c>
      <c r="E21" s="762" t="s">
        <v>139</v>
      </c>
      <c r="F21" s="829">
        <v>-1.6</v>
      </c>
      <c r="G21" s="760">
        <v>-1.6</v>
      </c>
      <c r="H21" s="811" t="s">
        <v>882</v>
      </c>
    </row>
    <row r="22" spans="2:8" ht="15" customHeight="1" x14ac:dyDescent="0.2">
      <c r="B22" s="494"/>
      <c r="C22" s="364" t="s">
        <v>174</v>
      </c>
      <c r="D22" s="495" t="s">
        <v>224</v>
      </c>
      <c r="E22" s="763" t="s">
        <v>139</v>
      </c>
      <c r="F22" s="758" t="s">
        <v>139</v>
      </c>
      <c r="G22" s="837">
        <v>-1.5</v>
      </c>
      <c r="H22" s="812" t="s">
        <v>883</v>
      </c>
    </row>
    <row r="23" spans="2:8" ht="15" customHeight="1" x14ac:dyDescent="0.2">
      <c r="B23" s="487" t="s">
        <v>117</v>
      </c>
      <c r="C23" s="366" t="s">
        <v>223</v>
      </c>
      <c r="D23" s="497" t="s">
        <v>476</v>
      </c>
      <c r="E23" s="764">
        <v>6.5</v>
      </c>
      <c r="F23" s="829">
        <f>E23</f>
        <v>6.5</v>
      </c>
      <c r="G23" s="830">
        <v>6.5</v>
      </c>
      <c r="H23" s="811" t="s">
        <v>339</v>
      </c>
    </row>
    <row r="24" spans="2:8" ht="15" customHeight="1" x14ac:dyDescent="0.2">
      <c r="B24" s="487"/>
      <c r="C24" s="366" t="s">
        <v>84</v>
      </c>
      <c r="D24" s="493" t="s">
        <v>139</v>
      </c>
      <c r="E24" s="841">
        <v>0.26</v>
      </c>
      <c r="F24" s="838">
        <v>0.4</v>
      </c>
      <c r="G24" s="839">
        <v>0.4</v>
      </c>
      <c r="H24" s="811" t="s">
        <v>884</v>
      </c>
    </row>
    <row r="25" spans="2:8" ht="15" customHeight="1" x14ac:dyDescent="0.2">
      <c r="B25" s="487"/>
      <c r="C25" s="366" t="s">
        <v>85</v>
      </c>
      <c r="D25" s="493" t="s">
        <v>139</v>
      </c>
      <c r="E25" s="842">
        <v>0.5</v>
      </c>
      <c r="F25" s="829">
        <v>0.45</v>
      </c>
      <c r="G25" s="830">
        <v>0.45</v>
      </c>
      <c r="H25" s="811" t="s">
        <v>885</v>
      </c>
    </row>
    <row r="26" spans="2:8" ht="15" customHeight="1" x14ac:dyDescent="0.2">
      <c r="B26" s="494"/>
      <c r="C26" s="364" t="s">
        <v>327</v>
      </c>
      <c r="D26" s="365" t="s">
        <v>120</v>
      </c>
      <c r="E26" s="763" t="s">
        <v>139</v>
      </c>
      <c r="F26" s="840">
        <v>2</v>
      </c>
      <c r="G26" s="840">
        <v>15</v>
      </c>
      <c r="H26" s="812" t="s">
        <v>886</v>
      </c>
    </row>
    <row r="27" spans="2:8" ht="15" customHeight="1" x14ac:dyDescent="0.2">
      <c r="B27" s="487" t="s">
        <v>410</v>
      </c>
      <c r="C27" s="366" t="s">
        <v>243</v>
      </c>
      <c r="D27" s="499" t="s">
        <v>912</v>
      </c>
      <c r="E27" s="765" t="s">
        <v>139</v>
      </c>
      <c r="F27" s="766" t="s">
        <v>139</v>
      </c>
      <c r="G27" s="843">
        <v>0.14000000000000001</v>
      </c>
      <c r="H27" s="811" t="s">
        <v>822</v>
      </c>
    </row>
    <row r="28" spans="2:8" ht="15" customHeight="1" x14ac:dyDescent="0.2">
      <c r="B28" s="487"/>
      <c r="C28" s="364" t="s">
        <v>246</v>
      </c>
      <c r="D28" s="365" t="s">
        <v>912</v>
      </c>
      <c r="E28" s="767" t="s">
        <v>244</v>
      </c>
      <c r="F28" s="768" t="s">
        <v>244</v>
      </c>
      <c r="G28" s="831">
        <v>1.37</v>
      </c>
      <c r="H28" s="812" t="s">
        <v>822</v>
      </c>
    </row>
    <row r="29" spans="2:8" ht="30" customHeight="1" x14ac:dyDescent="0.2">
      <c r="B29" s="487"/>
      <c r="C29" s="366" t="s">
        <v>311</v>
      </c>
      <c r="D29" s="500" t="s">
        <v>429</v>
      </c>
      <c r="E29" s="764">
        <v>0.02</v>
      </c>
      <c r="F29" s="759">
        <v>0.02</v>
      </c>
      <c r="G29" s="844">
        <v>0.02</v>
      </c>
      <c r="H29" s="811" t="s">
        <v>887</v>
      </c>
    </row>
    <row r="30" spans="2:8" ht="30" customHeight="1" x14ac:dyDescent="0.2">
      <c r="B30" s="494"/>
      <c r="C30" s="364" t="s">
        <v>419</v>
      </c>
      <c r="D30" s="501" t="s">
        <v>315</v>
      </c>
      <c r="E30" s="767" t="s">
        <v>137</v>
      </c>
      <c r="F30" s="758">
        <v>5.65</v>
      </c>
      <c r="G30" s="769" t="s">
        <v>137</v>
      </c>
      <c r="H30" s="812" t="s">
        <v>873</v>
      </c>
    </row>
    <row r="31" spans="2:8" ht="30" customHeight="1" x14ac:dyDescent="0.2">
      <c r="B31" s="487" t="s">
        <v>134</v>
      </c>
      <c r="C31" s="366" t="s">
        <v>722</v>
      </c>
      <c r="D31" s="498" t="s">
        <v>411</v>
      </c>
      <c r="E31" s="845">
        <v>-22</v>
      </c>
      <c r="F31" s="846">
        <v>-2.1</v>
      </c>
      <c r="G31" s="814">
        <v>-2.1</v>
      </c>
      <c r="H31" s="811" t="s">
        <v>888</v>
      </c>
    </row>
    <row r="32" spans="2:8" ht="15" customHeight="1" x14ac:dyDescent="0.2">
      <c r="B32" s="494"/>
      <c r="C32" s="364" t="s">
        <v>135</v>
      </c>
      <c r="D32" s="495" t="s">
        <v>136</v>
      </c>
      <c r="E32" s="758" t="s">
        <v>137</v>
      </c>
      <c r="F32" s="847">
        <v>-3.8</v>
      </c>
      <c r="G32" s="815">
        <v>-3.8</v>
      </c>
      <c r="H32" s="812" t="s">
        <v>889</v>
      </c>
    </row>
    <row r="33" spans="2:8" ht="15" customHeight="1" x14ac:dyDescent="0.2">
      <c r="B33" s="502" t="s">
        <v>447</v>
      </c>
      <c r="C33" s="366" t="s">
        <v>446</v>
      </c>
      <c r="D33" s="498" t="s">
        <v>398</v>
      </c>
      <c r="E33" s="770" t="s">
        <v>137</v>
      </c>
      <c r="F33" s="765" t="s">
        <v>137</v>
      </c>
      <c r="G33" s="829">
        <v>0.5</v>
      </c>
      <c r="H33" s="811" t="s">
        <v>890</v>
      </c>
    </row>
    <row r="34" spans="2:8" ht="15" customHeight="1" x14ac:dyDescent="0.2">
      <c r="B34" s="487"/>
      <c r="C34" s="366" t="s">
        <v>312</v>
      </c>
      <c r="D34" s="498" t="s">
        <v>308</v>
      </c>
      <c r="E34" s="764" t="s">
        <v>137</v>
      </c>
      <c r="F34" s="765" t="s">
        <v>137</v>
      </c>
      <c r="G34" s="830">
        <v>1</v>
      </c>
      <c r="H34" s="811" t="s">
        <v>891</v>
      </c>
    </row>
    <row r="35" spans="2:8" ht="15" customHeight="1" x14ac:dyDescent="0.2">
      <c r="B35" s="487"/>
      <c r="C35" s="366" t="s">
        <v>446</v>
      </c>
      <c r="D35" s="498" t="s">
        <v>398</v>
      </c>
      <c r="E35" s="764" t="s">
        <v>137</v>
      </c>
      <c r="F35" s="765" t="s">
        <v>137</v>
      </c>
      <c r="G35" s="829">
        <v>0.5</v>
      </c>
      <c r="H35" s="811" t="s">
        <v>892</v>
      </c>
    </row>
    <row r="36" spans="2:8" ht="30" customHeight="1" x14ac:dyDescent="0.2">
      <c r="B36" s="487"/>
      <c r="C36" s="364" t="s">
        <v>323</v>
      </c>
      <c r="D36" s="365" t="s">
        <v>137</v>
      </c>
      <c r="E36" s="767" t="s">
        <v>137</v>
      </c>
      <c r="F36" s="849">
        <v>0.9</v>
      </c>
      <c r="G36" s="848">
        <v>0.9</v>
      </c>
      <c r="H36" s="812" t="s">
        <v>893</v>
      </c>
    </row>
    <row r="37" spans="2:8" ht="30" customHeight="1" x14ac:dyDescent="0.2">
      <c r="B37" s="487"/>
      <c r="C37" s="366" t="s">
        <v>309</v>
      </c>
      <c r="D37" s="498" t="s">
        <v>363</v>
      </c>
      <c r="E37" s="764" t="s">
        <v>137</v>
      </c>
      <c r="F37" s="850">
        <v>1.5</v>
      </c>
      <c r="G37" s="851">
        <v>10.4</v>
      </c>
      <c r="H37" s="811" t="s">
        <v>894</v>
      </c>
    </row>
    <row r="38" spans="2:8" ht="15" customHeight="1" x14ac:dyDescent="0.2">
      <c r="B38" s="494"/>
      <c r="C38" s="364" t="s">
        <v>310</v>
      </c>
      <c r="D38" s="365" t="s">
        <v>137</v>
      </c>
      <c r="E38" s="767" t="s">
        <v>137</v>
      </c>
      <c r="F38" s="848">
        <v>0.9</v>
      </c>
      <c r="G38" s="852">
        <v>0.9</v>
      </c>
      <c r="H38" s="812" t="s">
        <v>822</v>
      </c>
    </row>
    <row r="39" spans="2:8" s="346" customFormat="1" ht="3.95" hidden="1" customHeight="1" x14ac:dyDescent="0.2">
      <c r="B39" s="366"/>
      <c r="C39" s="366"/>
      <c r="D39" s="491"/>
      <c r="E39" s="759"/>
      <c r="F39" s="813"/>
      <c r="G39" s="813"/>
      <c r="H39" s="816"/>
    </row>
    <row r="40" spans="2:8" s="346" customFormat="1" ht="3.95" hidden="1" customHeight="1" thickBot="1" x14ac:dyDescent="0.25">
      <c r="B40" s="366"/>
      <c r="C40" s="366"/>
      <c r="D40" s="491"/>
      <c r="E40" s="759"/>
      <c r="F40" s="813"/>
      <c r="G40" s="813"/>
      <c r="H40" s="816"/>
    </row>
    <row r="41" spans="2:8" ht="14.1" hidden="1" customHeight="1" thickTop="1" x14ac:dyDescent="0.2">
      <c r="B41" s="507" t="s">
        <v>728</v>
      </c>
      <c r="C41" s="508" t="s">
        <v>730</v>
      </c>
      <c r="D41" s="509" t="s">
        <v>236</v>
      </c>
      <c r="E41" s="996" t="s">
        <v>303</v>
      </c>
      <c r="F41" s="997"/>
      <c r="G41" s="998"/>
      <c r="H41" s="817" t="s">
        <v>895</v>
      </c>
    </row>
    <row r="42" spans="2:8" ht="14.1" hidden="1" customHeight="1" x14ac:dyDescent="0.2">
      <c r="B42" s="494"/>
      <c r="C42" s="510"/>
      <c r="D42" s="496"/>
      <c r="E42" s="763" t="s">
        <v>304</v>
      </c>
      <c r="F42" s="818" t="s">
        <v>305</v>
      </c>
      <c r="G42" s="819" t="s">
        <v>306</v>
      </c>
      <c r="H42" s="820"/>
    </row>
    <row r="43" spans="2:8" ht="30" customHeight="1" x14ac:dyDescent="0.2">
      <c r="B43" s="487" t="s">
        <v>731</v>
      </c>
      <c r="C43" s="366" t="s">
        <v>132</v>
      </c>
      <c r="D43" s="481" t="s">
        <v>518</v>
      </c>
      <c r="E43" s="853">
        <v>2</v>
      </c>
      <c r="F43" s="759" t="s">
        <v>22</v>
      </c>
      <c r="G43" s="760" t="s">
        <v>22</v>
      </c>
      <c r="H43" s="811" t="s">
        <v>896</v>
      </c>
    </row>
    <row r="44" spans="2:8" ht="30" customHeight="1" x14ac:dyDescent="0.2">
      <c r="B44" s="487"/>
      <c r="C44" s="366" t="s">
        <v>233</v>
      </c>
      <c r="D44" s="511" t="s">
        <v>841</v>
      </c>
      <c r="E44" s="854">
        <v>0.6</v>
      </c>
      <c r="F44" s="857">
        <v>0.5</v>
      </c>
      <c r="G44" s="839">
        <v>0.4</v>
      </c>
      <c r="H44" s="811" t="s">
        <v>897</v>
      </c>
    </row>
    <row r="45" spans="2:8" ht="30" customHeight="1" x14ac:dyDescent="0.2">
      <c r="B45" s="487"/>
      <c r="C45" s="364" t="s">
        <v>517</v>
      </c>
      <c r="D45" s="501" t="s">
        <v>841</v>
      </c>
      <c r="E45" s="855">
        <v>0.4</v>
      </c>
      <c r="F45" s="849">
        <v>0.5</v>
      </c>
      <c r="G45" s="858">
        <v>0.6</v>
      </c>
      <c r="H45" s="811" t="s">
        <v>897</v>
      </c>
    </row>
    <row r="46" spans="2:8" ht="29.1" customHeight="1" x14ac:dyDescent="0.2">
      <c r="B46" s="487"/>
      <c r="C46" s="512" t="s">
        <v>358</v>
      </c>
      <c r="D46" s="462" t="s">
        <v>121</v>
      </c>
      <c r="E46" s="856">
        <v>2.5</v>
      </c>
      <c r="F46" s="771" t="s">
        <v>1</v>
      </c>
      <c r="G46" s="772" t="s">
        <v>22</v>
      </c>
      <c r="H46" s="821" t="s">
        <v>898</v>
      </c>
    </row>
    <row r="47" spans="2:8" ht="30" customHeight="1" x14ac:dyDescent="0.2">
      <c r="B47" s="487"/>
      <c r="C47" s="366" t="s">
        <v>233</v>
      </c>
      <c r="D47" s="511" t="s">
        <v>841</v>
      </c>
      <c r="E47" s="854">
        <v>0.7</v>
      </c>
      <c r="F47" s="857">
        <v>0.6</v>
      </c>
      <c r="G47" s="839">
        <v>0.5</v>
      </c>
      <c r="H47" s="811" t="s">
        <v>897</v>
      </c>
    </row>
    <row r="48" spans="2:8" ht="30" customHeight="1" x14ac:dyDescent="0.2">
      <c r="B48" s="487"/>
      <c r="C48" s="366" t="s">
        <v>517</v>
      </c>
      <c r="D48" s="511" t="s">
        <v>841</v>
      </c>
      <c r="E48" s="854">
        <v>0.3</v>
      </c>
      <c r="F48" s="857">
        <v>0.4</v>
      </c>
      <c r="G48" s="839">
        <v>0.5</v>
      </c>
      <c r="H48" s="811" t="s">
        <v>897</v>
      </c>
    </row>
    <row r="49" spans="2:10" ht="15" customHeight="1" x14ac:dyDescent="0.2">
      <c r="B49" s="487"/>
      <c r="C49" s="366" t="s">
        <v>817</v>
      </c>
      <c r="D49" s="511" t="s">
        <v>819</v>
      </c>
      <c r="E49" s="854">
        <v>0.5</v>
      </c>
      <c r="F49" s="857">
        <v>0.5</v>
      </c>
      <c r="G49" s="857">
        <v>0.5</v>
      </c>
      <c r="H49" s="811" t="s">
        <v>899</v>
      </c>
    </row>
    <row r="50" spans="2:10" ht="15" customHeight="1" x14ac:dyDescent="0.2">
      <c r="B50" s="487"/>
      <c r="C50" s="366" t="s">
        <v>818</v>
      </c>
      <c r="D50" s="511" t="s">
        <v>820</v>
      </c>
      <c r="E50" s="854">
        <v>0.5</v>
      </c>
      <c r="F50" s="857">
        <v>0.5</v>
      </c>
      <c r="G50" s="857">
        <v>0.5</v>
      </c>
      <c r="H50" s="811" t="s">
        <v>899</v>
      </c>
    </row>
    <row r="51" spans="2:10" ht="30" customHeight="1" x14ac:dyDescent="0.2">
      <c r="B51" s="487"/>
      <c r="C51" s="512" t="s">
        <v>359</v>
      </c>
      <c r="D51" s="462" t="s">
        <v>122</v>
      </c>
      <c r="E51" s="856">
        <v>2.5</v>
      </c>
      <c r="F51" s="772" t="s">
        <v>22</v>
      </c>
      <c r="G51" s="772" t="s">
        <v>22</v>
      </c>
      <c r="H51" s="821" t="s">
        <v>900</v>
      </c>
      <c r="I51" s="363"/>
      <c r="J51" s="346"/>
    </row>
    <row r="52" spans="2:10" ht="15" customHeight="1" x14ac:dyDescent="0.2">
      <c r="B52" s="487"/>
      <c r="C52" s="366" t="s">
        <v>233</v>
      </c>
      <c r="D52" s="511" t="s">
        <v>841</v>
      </c>
      <c r="E52" s="854">
        <v>0.9</v>
      </c>
      <c r="F52" s="857">
        <v>0.9</v>
      </c>
      <c r="G52" s="839">
        <v>0.9</v>
      </c>
      <c r="H52" s="811"/>
      <c r="I52" s="363"/>
      <c r="J52" s="346"/>
    </row>
    <row r="53" spans="2:10" ht="15" customHeight="1" x14ac:dyDescent="0.2">
      <c r="B53" s="487"/>
      <c r="C53" s="364" t="s">
        <v>517</v>
      </c>
      <c r="D53" s="501" t="s">
        <v>841</v>
      </c>
      <c r="E53" s="855">
        <v>0.1</v>
      </c>
      <c r="F53" s="849">
        <v>0.1</v>
      </c>
      <c r="G53" s="858">
        <v>0.1</v>
      </c>
      <c r="H53" s="812"/>
      <c r="I53" s="363"/>
      <c r="J53" s="346"/>
    </row>
    <row r="54" spans="2:10" ht="15" customHeight="1" x14ac:dyDescent="0.2">
      <c r="B54" s="487"/>
      <c r="C54" s="366" t="s">
        <v>842</v>
      </c>
      <c r="D54" s="362" t="s">
        <v>122</v>
      </c>
      <c r="E54" s="764" t="s">
        <v>139</v>
      </c>
      <c r="F54" s="859">
        <v>0.5</v>
      </c>
      <c r="G54" s="839">
        <v>0.5</v>
      </c>
      <c r="H54" s="811" t="s">
        <v>878</v>
      </c>
    </row>
    <row r="55" spans="2:10" ht="15" customHeight="1" x14ac:dyDescent="0.2">
      <c r="B55" s="487"/>
      <c r="C55" s="366" t="s">
        <v>481</v>
      </c>
      <c r="D55" s="362" t="s">
        <v>518</v>
      </c>
      <c r="E55" s="764" t="s">
        <v>139</v>
      </c>
      <c r="F55" s="859">
        <v>0.5</v>
      </c>
      <c r="G55" s="773" t="s">
        <v>139</v>
      </c>
      <c r="H55" s="811" t="s">
        <v>878</v>
      </c>
    </row>
    <row r="56" spans="2:10" ht="15" customHeight="1" x14ac:dyDescent="0.2">
      <c r="B56" s="487"/>
      <c r="C56" s="366" t="s">
        <v>412</v>
      </c>
      <c r="D56" s="362" t="s">
        <v>518</v>
      </c>
      <c r="E56" s="764" t="s">
        <v>139</v>
      </c>
      <c r="F56" s="766" t="s">
        <v>139</v>
      </c>
      <c r="G56" s="839">
        <v>1</v>
      </c>
      <c r="H56" s="811" t="s">
        <v>901</v>
      </c>
    </row>
    <row r="57" spans="2:10" ht="15" customHeight="1" x14ac:dyDescent="0.2">
      <c r="B57" s="487"/>
      <c r="C57" s="366" t="s">
        <v>348</v>
      </c>
      <c r="D57" s="362" t="s">
        <v>518</v>
      </c>
      <c r="E57" s="764" t="s">
        <v>139</v>
      </c>
      <c r="F57" s="774" t="s">
        <v>139</v>
      </c>
      <c r="G57" s="839">
        <v>1.25</v>
      </c>
      <c r="H57" s="811" t="s">
        <v>902</v>
      </c>
    </row>
    <row r="58" spans="2:10" ht="15" customHeight="1" x14ac:dyDescent="0.2">
      <c r="B58" s="487"/>
      <c r="C58" s="366" t="s">
        <v>44</v>
      </c>
      <c r="D58" s="362" t="s">
        <v>518</v>
      </c>
      <c r="E58" s="764" t="s">
        <v>1</v>
      </c>
      <c r="F58" s="859">
        <v>0.75</v>
      </c>
      <c r="G58" s="839">
        <v>0.75</v>
      </c>
      <c r="H58" s="822" t="s">
        <v>886</v>
      </c>
    </row>
    <row r="59" spans="2:10" ht="15" customHeight="1" x14ac:dyDescent="0.2">
      <c r="B59" s="487"/>
      <c r="C59" s="366" t="s">
        <v>489</v>
      </c>
      <c r="D59" s="362" t="s">
        <v>518</v>
      </c>
      <c r="E59" s="764" t="s">
        <v>139</v>
      </c>
      <c r="F59" s="859">
        <v>2</v>
      </c>
      <c r="G59" s="773" t="s">
        <v>139</v>
      </c>
      <c r="H59" s="811" t="s">
        <v>903</v>
      </c>
    </row>
    <row r="60" spans="2:10" ht="30" customHeight="1" x14ac:dyDescent="0.2">
      <c r="B60" s="494"/>
      <c r="C60" s="364" t="s">
        <v>242</v>
      </c>
      <c r="D60" s="361" t="s">
        <v>518</v>
      </c>
      <c r="E60" s="767" t="s">
        <v>139</v>
      </c>
      <c r="F60" s="768" t="s">
        <v>139</v>
      </c>
      <c r="G60" s="858">
        <v>20</v>
      </c>
      <c r="H60" s="812" t="s">
        <v>904</v>
      </c>
    </row>
    <row r="61" spans="2:10" ht="15" customHeight="1" x14ac:dyDescent="0.2">
      <c r="B61" s="487" t="s">
        <v>324</v>
      </c>
      <c r="C61" s="366" t="s">
        <v>325</v>
      </c>
      <c r="D61" s="498" t="s">
        <v>413</v>
      </c>
      <c r="E61" s="860">
        <v>70</v>
      </c>
      <c r="F61" s="765">
        <f>E61</f>
        <v>70</v>
      </c>
      <c r="G61" s="760">
        <f>E61</f>
        <v>70</v>
      </c>
      <c r="H61" s="811"/>
    </row>
    <row r="62" spans="2:10" ht="15" customHeight="1" x14ac:dyDescent="0.2">
      <c r="B62" s="487"/>
      <c r="C62" s="366" t="s">
        <v>326</v>
      </c>
      <c r="D62" s="498" t="s">
        <v>413</v>
      </c>
      <c r="E62" s="842">
        <v>140</v>
      </c>
      <c r="F62" s="765">
        <f>E62</f>
        <v>140</v>
      </c>
      <c r="G62" s="760">
        <f>E62</f>
        <v>140</v>
      </c>
      <c r="H62" s="811"/>
    </row>
    <row r="63" spans="2:10" ht="29.25" customHeight="1" x14ac:dyDescent="0.2">
      <c r="B63" s="487"/>
      <c r="C63" s="364" t="s">
        <v>94</v>
      </c>
      <c r="D63" s="495" t="s">
        <v>314</v>
      </c>
      <c r="E63" s="758" t="s">
        <v>810</v>
      </c>
      <c r="F63" s="861">
        <v>0</v>
      </c>
      <c r="G63" s="775">
        <f>F63</f>
        <v>0</v>
      </c>
      <c r="H63" s="812" t="s">
        <v>905</v>
      </c>
    </row>
    <row r="64" spans="2:10" ht="15" customHeight="1" x14ac:dyDescent="0.2">
      <c r="B64" s="487"/>
      <c r="C64" s="512" t="s">
        <v>245</v>
      </c>
      <c r="D64" s="503" t="s">
        <v>138</v>
      </c>
      <c r="E64" s="860">
        <v>100</v>
      </c>
      <c r="F64" s="772">
        <f>E64</f>
        <v>100</v>
      </c>
      <c r="G64" s="776">
        <f>E64</f>
        <v>100</v>
      </c>
      <c r="H64" s="821" t="s">
        <v>906</v>
      </c>
    </row>
    <row r="65" spans="1:8" ht="15" customHeight="1" thickBot="1" x14ac:dyDescent="0.25">
      <c r="B65" s="504"/>
      <c r="C65" s="505" t="s">
        <v>307</v>
      </c>
      <c r="D65" s="506" t="s">
        <v>313</v>
      </c>
      <c r="E65" s="862">
        <v>20</v>
      </c>
      <c r="F65" s="777">
        <f>E65</f>
        <v>20</v>
      </c>
      <c r="G65" s="778">
        <f>E65</f>
        <v>20</v>
      </c>
      <c r="H65" s="823" t="s">
        <v>907</v>
      </c>
    </row>
    <row r="66" spans="1:8" ht="14.1" hidden="1" customHeight="1" thickTop="1" x14ac:dyDescent="0.2">
      <c r="B66" s="359"/>
      <c r="C66" s="441" t="s">
        <v>23</v>
      </c>
      <c r="D66" s="360" t="s">
        <v>314</v>
      </c>
      <c r="E66" s="346" t="s">
        <v>139</v>
      </c>
      <c r="F66" s="824">
        <v>0</v>
      </c>
      <c r="G66" s="440">
        <f>F66</f>
        <v>0</v>
      </c>
      <c r="H66" s="825" t="s">
        <v>112</v>
      </c>
    </row>
    <row r="67" spans="1:8" ht="14.1" hidden="1" customHeight="1" thickBot="1" x14ac:dyDescent="0.25">
      <c r="B67" s="367"/>
      <c r="C67" s="438" t="s">
        <v>23</v>
      </c>
      <c r="D67" s="437" t="s">
        <v>314</v>
      </c>
      <c r="E67" s="436" t="s">
        <v>139</v>
      </c>
      <c r="F67" s="826">
        <v>0</v>
      </c>
      <c r="G67" s="439">
        <f>F67</f>
        <v>0</v>
      </c>
      <c r="H67" s="827" t="s">
        <v>49</v>
      </c>
    </row>
    <row r="68" spans="1:8" ht="3.95" customHeight="1" thickTop="1" x14ac:dyDescent="0.2">
      <c r="B68" s="421"/>
    </row>
    <row r="71" spans="1:8" x14ac:dyDescent="0.2">
      <c r="A71" s="346"/>
      <c r="C71" s="346"/>
      <c r="E71" s="346"/>
      <c r="F71" s="346"/>
      <c r="G71" s="346"/>
      <c r="H71" s="368"/>
    </row>
  </sheetData>
  <sheetProtection password="EDC3" sheet="1" objects="1" scenarios="1"/>
  <mergeCells count="2">
    <mergeCell ref="E8:G8"/>
    <mergeCell ref="E41:G41"/>
  </mergeCells>
  <phoneticPr fontId="39" type="noConversion"/>
  <pageMargins left="0.2" right="0.79000000000000015" top="0.98" bottom="0.2" header="0.5" footer="0.5"/>
  <pageSetup paperSize="0" orientation="portrait" horizontalDpi="300" verticalDpi="300" r:id="rId1"/>
  <headerFooter>
    <oddHeader>&amp;CBilanzierung kommunaler Wasserinfrastrukturen - BkW</oddHeader>
    <oddFooter>Seite &amp;P</oddFooter>
  </headerFooter>
  <ignoredErrors>
    <ignoredError sqref="G63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enableFormatConditionsCalculation="0"/>
  <dimension ref="A1:BK198"/>
  <sheetViews>
    <sheetView topLeftCell="A145" zoomScale="125" workbookViewId="0">
      <pane xSplit="2" topLeftCell="C1" activePane="topRight" state="frozen"/>
      <selection pane="topRight" activeCell="D178" sqref="D178"/>
    </sheetView>
  </sheetViews>
  <sheetFormatPr baseColWidth="10" defaultRowHeight="15" x14ac:dyDescent="0.25"/>
  <cols>
    <col min="1" max="1" width="12.7109375" customWidth="1"/>
    <col min="2" max="2" width="15" style="4" customWidth="1"/>
    <col min="3" max="3" width="22" style="26" customWidth="1"/>
    <col min="4" max="4" width="12.85546875" customWidth="1"/>
    <col min="5" max="5" width="14.28515625" customWidth="1"/>
    <col min="6" max="6" width="12.85546875" customWidth="1"/>
    <col min="7" max="7" width="14.5703125" customWidth="1"/>
    <col min="8" max="12" width="12.85546875" customWidth="1"/>
    <col min="15" max="15" width="21.7109375" style="26" customWidth="1"/>
    <col min="16" max="25" width="12.85546875" customWidth="1"/>
    <col min="27" max="27" width="21.85546875" style="26" customWidth="1"/>
    <col min="28" max="36" width="12.85546875" customWidth="1"/>
    <col min="40" max="40" width="18.7109375" style="26" customWidth="1"/>
    <col min="41" max="50" width="12.85546875" customWidth="1"/>
    <col min="52" max="52" width="18.28515625" style="26" customWidth="1"/>
    <col min="53" max="63" width="12.85546875" customWidth="1"/>
  </cols>
  <sheetData>
    <row r="1" spans="1:63" x14ac:dyDescent="0.25">
      <c r="A1" s="19"/>
      <c r="B1" s="19"/>
      <c r="D1" s="17"/>
      <c r="F1" s="33"/>
      <c r="H1" s="30"/>
      <c r="O1" s="131"/>
      <c r="P1" s="17"/>
      <c r="Q1" s="33"/>
      <c r="S1" s="30"/>
      <c r="AA1" s="131"/>
      <c r="AB1" s="17"/>
      <c r="AC1" s="33"/>
      <c r="AE1" s="30"/>
      <c r="AM1" s="4"/>
      <c r="AN1" s="131"/>
      <c r="AO1" s="17"/>
      <c r="AP1" s="33"/>
      <c r="AR1" s="30"/>
      <c r="AY1" s="4"/>
      <c r="AZ1" s="131"/>
      <c r="BA1" s="17"/>
      <c r="BB1" s="33"/>
      <c r="BD1" s="30"/>
    </row>
    <row r="2" spans="1:63" s="13" customFormat="1" x14ac:dyDescent="0.25">
      <c r="A2" s="42" t="s">
        <v>734</v>
      </c>
      <c r="B2" s="12"/>
      <c r="C2" s="124" t="s">
        <v>158</v>
      </c>
      <c r="O2" s="124" t="s">
        <v>52</v>
      </c>
      <c r="AA2" s="157" t="s">
        <v>53</v>
      </c>
      <c r="AM2" s="12"/>
      <c r="AN2" s="157" t="s">
        <v>54</v>
      </c>
      <c r="AY2" s="12"/>
      <c r="AZ2" s="157" t="s">
        <v>45</v>
      </c>
    </row>
    <row r="3" spans="1:63" s="16" customFormat="1" x14ac:dyDescent="0.25">
      <c r="A3" s="1002"/>
      <c r="B3" s="1002"/>
      <c r="C3" s="130"/>
      <c r="O3" s="130"/>
      <c r="AA3" s="130"/>
      <c r="AI3" s="30"/>
      <c r="AJ3" s="30"/>
      <c r="AK3" s="30"/>
      <c r="AL3" s="30"/>
      <c r="AM3" s="73"/>
      <c r="AN3" s="130"/>
      <c r="AY3" s="73"/>
      <c r="AZ3" s="130"/>
      <c r="BH3" s="30"/>
      <c r="BI3" s="30"/>
      <c r="BJ3" s="30"/>
      <c r="BK3" s="30"/>
    </row>
    <row r="4" spans="1:63" s="16" customFormat="1" x14ac:dyDescent="0.25">
      <c r="A4" s="1021" t="s">
        <v>401</v>
      </c>
      <c r="B4" s="1022"/>
      <c r="C4" s="588" t="s">
        <v>416</v>
      </c>
      <c r="D4" s="268" t="s">
        <v>344</v>
      </c>
      <c r="E4" s="268" t="s">
        <v>268</v>
      </c>
      <c r="F4" s="268" t="s">
        <v>109</v>
      </c>
      <c r="G4" s="179" t="s">
        <v>564</v>
      </c>
      <c r="H4" s="268" t="s">
        <v>824</v>
      </c>
      <c r="I4" s="268" t="s">
        <v>617</v>
      </c>
      <c r="J4" s="268" t="s">
        <v>618</v>
      </c>
      <c r="K4" s="268" t="s">
        <v>514</v>
      </c>
      <c r="L4" s="270" t="s">
        <v>616</v>
      </c>
      <c r="O4" s="179" t="s">
        <v>416</v>
      </c>
      <c r="P4" s="50" t="s">
        <v>344</v>
      </c>
      <c r="Q4" s="50" t="s">
        <v>268</v>
      </c>
      <c r="R4" s="50" t="s">
        <v>109</v>
      </c>
      <c r="S4" s="179" t="s">
        <v>564</v>
      </c>
      <c r="T4" s="50" t="s">
        <v>824</v>
      </c>
      <c r="U4" s="50" t="s">
        <v>617</v>
      </c>
      <c r="V4" s="50" t="s">
        <v>618</v>
      </c>
      <c r="W4" s="50" t="s">
        <v>514</v>
      </c>
      <c r="X4" s="50" t="s">
        <v>616</v>
      </c>
      <c r="AA4" s="179" t="s">
        <v>416</v>
      </c>
      <c r="AB4" s="50" t="s">
        <v>344</v>
      </c>
      <c r="AC4" s="50" t="s">
        <v>268</v>
      </c>
      <c r="AD4" s="50" t="s">
        <v>109</v>
      </c>
      <c r="AE4" s="179" t="s">
        <v>488</v>
      </c>
      <c r="AF4" s="50" t="s">
        <v>824</v>
      </c>
      <c r="AG4" s="50" t="s">
        <v>617</v>
      </c>
      <c r="AH4" s="50" t="s">
        <v>618</v>
      </c>
      <c r="AI4" s="50" t="s">
        <v>514</v>
      </c>
      <c r="AJ4" s="50" t="s">
        <v>616</v>
      </c>
      <c r="AM4" s="10"/>
      <c r="AN4" s="179" t="s">
        <v>416</v>
      </c>
      <c r="AO4" s="50" t="s">
        <v>344</v>
      </c>
      <c r="AP4" s="50" t="s">
        <v>268</v>
      </c>
      <c r="AQ4" s="50" t="s">
        <v>109</v>
      </c>
      <c r="AR4" s="179" t="s">
        <v>564</v>
      </c>
      <c r="AS4" s="50" t="s">
        <v>824</v>
      </c>
      <c r="AT4" s="50" t="s">
        <v>617</v>
      </c>
      <c r="AU4" s="50" t="s">
        <v>618</v>
      </c>
      <c r="AV4" s="50" t="s">
        <v>514</v>
      </c>
      <c r="AW4" s="50" t="s">
        <v>616</v>
      </c>
      <c r="AY4" s="10"/>
      <c r="AZ4" s="179" t="s">
        <v>416</v>
      </c>
      <c r="BA4" s="50" t="s">
        <v>344</v>
      </c>
      <c r="BB4" s="50" t="s">
        <v>268</v>
      </c>
      <c r="BC4" s="50" t="s">
        <v>109</v>
      </c>
      <c r="BD4" s="179" t="s">
        <v>488</v>
      </c>
      <c r="BE4" s="50" t="s">
        <v>824</v>
      </c>
      <c r="BF4" s="50" t="s">
        <v>617</v>
      </c>
      <c r="BG4" s="50" t="s">
        <v>618</v>
      </c>
      <c r="BH4" s="50" t="s">
        <v>514</v>
      </c>
      <c r="BI4" s="50" t="s">
        <v>616</v>
      </c>
    </row>
    <row r="5" spans="1:63" x14ac:dyDescent="0.25">
      <c r="A5" s="1016" t="s">
        <v>725</v>
      </c>
      <c r="B5" s="1002"/>
      <c r="C5" s="589" t="s">
        <v>511</v>
      </c>
      <c r="D5" s="267" t="s">
        <v>511</v>
      </c>
      <c r="E5" s="267" t="s">
        <v>511</v>
      </c>
      <c r="F5" s="263" t="s">
        <v>511</v>
      </c>
      <c r="G5" s="269" t="s">
        <v>511</v>
      </c>
      <c r="H5" s="263" t="s">
        <v>511</v>
      </c>
      <c r="I5" s="263" t="s">
        <v>511</v>
      </c>
      <c r="J5" s="263" t="s">
        <v>511</v>
      </c>
      <c r="K5" s="263" t="s">
        <v>511</v>
      </c>
      <c r="L5" s="264" t="s">
        <v>511</v>
      </c>
      <c r="O5" s="132" t="s">
        <v>511</v>
      </c>
      <c r="P5" s="125" t="s">
        <v>511</v>
      </c>
      <c r="Q5" s="125" t="s">
        <v>511</v>
      </c>
      <c r="R5" s="18" t="s">
        <v>511</v>
      </c>
      <c r="S5" s="132" t="s">
        <v>511</v>
      </c>
      <c r="T5" s="18" t="s">
        <v>511</v>
      </c>
      <c r="U5" s="18" t="s">
        <v>511</v>
      </c>
      <c r="V5" s="18" t="s">
        <v>511</v>
      </c>
      <c r="W5" s="18" t="s">
        <v>511</v>
      </c>
      <c r="X5" s="18" t="s">
        <v>511</v>
      </c>
      <c r="AA5" s="132" t="s">
        <v>511</v>
      </c>
      <c r="AB5" s="125" t="s">
        <v>511</v>
      </c>
      <c r="AC5" s="125" t="s">
        <v>511</v>
      </c>
      <c r="AD5" s="18" t="s">
        <v>511</v>
      </c>
      <c r="AE5" s="132" t="s">
        <v>511</v>
      </c>
      <c r="AF5" s="18" t="s">
        <v>511</v>
      </c>
      <c r="AG5" s="18" t="s">
        <v>511</v>
      </c>
      <c r="AH5" s="18" t="s">
        <v>511</v>
      </c>
      <c r="AI5" s="18" t="s">
        <v>511</v>
      </c>
      <c r="AJ5" s="18" t="s">
        <v>511</v>
      </c>
      <c r="AM5" s="4"/>
      <c r="AN5" s="132" t="s">
        <v>511</v>
      </c>
      <c r="AO5" s="125" t="s">
        <v>511</v>
      </c>
      <c r="AP5" s="125" t="s">
        <v>511</v>
      </c>
      <c r="AQ5" s="18" t="s">
        <v>511</v>
      </c>
      <c r="AR5" s="132" t="s">
        <v>511</v>
      </c>
      <c r="AS5" s="18" t="s">
        <v>511</v>
      </c>
      <c r="AT5" s="18" t="s">
        <v>511</v>
      </c>
      <c r="AU5" s="18" t="s">
        <v>511</v>
      </c>
      <c r="AV5" s="18" t="s">
        <v>511</v>
      </c>
      <c r="AW5" s="18" t="s">
        <v>511</v>
      </c>
      <c r="AY5" s="4"/>
      <c r="AZ5" s="132" t="s">
        <v>511</v>
      </c>
      <c r="BA5" s="125" t="s">
        <v>511</v>
      </c>
      <c r="BB5" s="125" t="s">
        <v>511</v>
      </c>
      <c r="BC5" s="18" t="s">
        <v>511</v>
      </c>
      <c r="BD5" s="132" t="s">
        <v>511</v>
      </c>
      <c r="BE5" s="18" t="s">
        <v>511</v>
      </c>
      <c r="BF5" s="18" t="s">
        <v>511</v>
      </c>
      <c r="BG5" s="18" t="s">
        <v>511</v>
      </c>
      <c r="BH5" s="18" t="s">
        <v>511</v>
      </c>
      <c r="BI5" s="18" t="s">
        <v>511</v>
      </c>
    </row>
    <row r="6" spans="1:63" x14ac:dyDescent="0.25">
      <c r="A6" s="1018" t="s">
        <v>110</v>
      </c>
      <c r="B6" s="999"/>
      <c r="C6" s="131">
        <f>'Eingabe Eckdaten'!H$21*'Eingabe Eckdaten'!D26+'Eingabe Eckdaten'!H$22*'Eingabe Eckdaten'!F26</f>
        <v>1125000</v>
      </c>
      <c r="D6" s="91">
        <f>('Eingabe Eckdaten'!H$21+'Eingabe Eckdaten'!H$22)*'Eingabe Eckdaten'!H26</f>
        <v>0</v>
      </c>
      <c r="E6" s="85">
        <f>('Eingabe Eckdaten'!H$21+'Eingabe Eckdaten'!H$22)*'Eingabe Eckdaten'!J26</f>
        <v>0</v>
      </c>
      <c r="F6" s="173">
        <f t="shared" ref="F6:F12" si="0">SUM(C6:E6)</f>
        <v>1125000</v>
      </c>
      <c r="G6" s="131">
        <f>F6*0.5*'Eingabe Eckdaten'!L$19</f>
        <v>225000</v>
      </c>
      <c r="H6" s="173">
        <v>0</v>
      </c>
      <c r="I6" s="173">
        <f>F6*0.5*'Eingabe Eckdaten'!L20</f>
        <v>337500</v>
      </c>
      <c r="J6" s="173">
        <f>G6+I6*(1-'Eingabe Eckdaten'!L$18)</f>
        <v>495000</v>
      </c>
      <c r="K6" s="173">
        <f>I6*'Eingabe Eckdaten'!L$18</f>
        <v>67500</v>
      </c>
      <c r="L6" s="271">
        <v>0</v>
      </c>
      <c r="M6" s="52"/>
      <c r="N6" s="52"/>
      <c r="O6" s="159">
        <f>'Eingabe Eckdaten'!H$42*'Eingabe Eckdaten'!D47+'Eingabe Eckdaten'!H$43*'Eingabe Eckdaten'!F47</f>
        <v>825000</v>
      </c>
      <c r="P6" s="222">
        <f>('Eingabe Eckdaten'!H$42+'Eingabe Eckdaten'!H$43)*'Eingabe Eckdaten'!H47</f>
        <v>0</v>
      </c>
      <c r="Q6" s="53">
        <f>('Eingabe Eckdaten'!H$42+'Eingabe Eckdaten'!H$43)*'Eingabe Eckdaten'!J47</f>
        <v>0</v>
      </c>
      <c r="R6" s="51">
        <f t="shared" ref="R6:R12" si="1">SUM(O6:Q6)</f>
        <v>825000</v>
      </c>
      <c r="S6" s="131">
        <f>R6*0.5*'Eingabe Eckdaten'!L$40</f>
        <v>247500</v>
      </c>
      <c r="T6" s="173">
        <v>0</v>
      </c>
      <c r="U6" s="173">
        <f>R6*0.5*'Eingabe Eckdaten'!L41</f>
        <v>165000</v>
      </c>
      <c r="V6" s="173">
        <f>S6+U6*(1-'Eingabe Eckdaten'!L$39)</f>
        <v>387750</v>
      </c>
      <c r="W6" s="173">
        <f>U6*'Eingabe Eckdaten'!L$39</f>
        <v>24750</v>
      </c>
      <c r="X6" s="173">
        <v>0</v>
      </c>
      <c r="AA6" s="131">
        <f>'Eingabe Eckdaten'!H$63*'Eingabe Eckdaten'!D68+'Eingabe Eckdaten'!H$64*'Eingabe Eckdaten'!F68</f>
        <v>825000</v>
      </c>
      <c r="AB6" s="222">
        <f>('Eingabe Eckdaten'!H$63+'Eingabe Eckdaten'!H$64)*'Eingabe Eckdaten'!H68</f>
        <v>0</v>
      </c>
      <c r="AC6" s="222">
        <f>('Eingabe Eckdaten'!H$63+'Eingabe Eckdaten'!H$64)*'Eingabe Eckdaten'!J68</f>
        <v>0</v>
      </c>
      <c r="AD6" s="51">
        <f t="shared" ref="AD6:AD12" si="2">SUM(AA6:AC6)</f>
        <v>825000</v>
      </c>
      <c r="AE6" s="131">
        <f>SUM(AA6:AC6)*0.5</f>
        <v>412500</v>
      </c>
      <c r="AF6" s="173">
        <v>0</v>
      </c>
      <c r="AG6" s="173">
        <f>AD6*0.5*'Eingabe Eckdaten'!L62/100</f>
        <v>0</v>
      </c>
      <c r="AH6" s="173">
        <v>0</v>
      </c>
      <c r="AI6" s="173">
        <v>0</v>
      </c>
      <c r="AJ6" s="173">
        <v>0</v>
      </c>
      <c r="AM6" s="4"/>
      <c r="AN6" s="159">
        <f>'Interne Berechunung'!AT$185*'Interne Berechunung'!AP190+'Interne Berechunung'!AT$186*'Interne Berechunung'!AR190</f>
        <v>1125000</v>
      </c>
      <c r="AO6" s="222">
        <f>('Interne Berechunung'!AT$185+'Interne Berechunung'!AT$186)*'Interne Berechunung'!AT190</f>
        <v>0</v>
      </c>
      <c r="AP6" s="53">
        <f>('Interne Berechunung'!AT$185+'Interne Berechunung'!AT$186)*'Interne Berechunung'!AV190</f>
        <v>0</v>
      </c>
      <c r="AQ6" s="51">
        <f t="shared" ref="AQ6:AQ12" si="3">SUM(AN6:AP6)</f>
        <v>1125000</v>
      </c>
      <c r="AR6" s="131">
        <f>AQ6*0.5*'Interne Berechunung'!AX$183</f>
        <v>337500</v>
      </c>
      <c r="AS6" s="173">
        <v>0</v>
      </c>
      <c r="AT6" s="173">
        <f>AQ6*0.5*'Interne Berechunung'!AX184</f>
        <v>225000</v>
      </c>
      <c r="AU6" s="173">
        <f>AR6+AT6*(1-'Interne Berechunung'!AX$182)</f>
        <v>528750</v>
      </c>
      <c r="AV6" s="173">
        <f>AT6*'Interne Berechunung'!AX$182</f>
        <v>33750</v>
      </c>
      <c r="AW6" s="173">
        <v>0</v>
      </c>
      <c r="AY6" s="4"/>
      <c r="AZ6" s="131">
        <f>'Interne Berechunung'!BF$185*'Interne Berechunung'!BB190+'Interne Berechunung'!BF$186*'Interne Berechunung'!BD190</f>
        <v>1125000</v>
      </c>
      <c r="BA6" s="222">
        <f>('Interne Berechunung'!BF$185+'Interne Berechunung'!BF$186)*'Interne Berechunung'!BF190</f>
        <v>0</v>
      </c>
      <c r="BB6" s="222">
        <f>('Interne Berechunung'!BF$185+'Interne Berechunung'!BF$186)*'Interne Berechunung'!BH190</f>
        <v>0</v>
      </c>
      <c r="BC6" s="51">
        <f t="shared" ref="BC6:BC12" si="4">SUM(AZ6:BB6)</f>
        <v>1125000</v>
      </c>
      <c r="BD6" s="131">
        <f>SUM(AZ6:BB6)*0.5</f>
        <v>562500</v>
      </c>
      <c r="BE6" s="173">
        <v>0</v>
      </c>
      <c r="BF6" s="173">
        <f>BC6*0.5*'Interne Berechunung'!BJ184/100</f>
        <v>0</v>
      </c>
      <c r="BG6" s="173">
        <v>0</v>
      </c>
      <c r="BH6" s="173">
        <v>0</v>
      </c>
      <c r="BI6" s="173">
        <v>0</v>
      </c>
    </row>
    <row r="7" spans="1:63" x14ac:dyDescent="0.25">
      <c r="A7" s="1018" t="s">
        <v>455</v>
      </c>
      <c r="B7" s="999"/>
      <c r="C7" s="131">
        <f>'Eingabe Eckdaten'!H$21*'Eingabe Eckdaten'!D27+'Eingabe Eckdaten'!H$22*'Eingabe Eckdaten'!F27</f>
        <v>7625000</v>
      </c>
      <c r="D7" s="91">
        <f>('Eingabe Eckdaten'!H$21+'Eingabe Eckdaten'!H$22)*'Eingabe Eckdaten'!H27</f>
        <v>0</v>
      </c>
      <c r="E7" s="85">
        <f>('Eingabe Eckdaten'!H$21+'Eingabe Eckdaten'!H$22)*'Eingabe Eckdaten'!J27</f>
        <v>0</v>
      </c>
      <c r="F7" s="173">
        <f t="shared" si="0"/>
        <v>7625000</v>
      </c>
      <c r="G7" s="131">
        <f>F7*'Eingabe Eckdaten'!L$19</f>
        <v>3050000</v>
      </c>
      <c r="H7" s="173">
        <v>0</v>
      </c>
      <c r="I7" s="173">
        <f>F7*'Eingabe Eckdaten'!L$20</f>
        <v>4575000</v>
      </c>
      <c r="J7" s="173">
        <f>G7+I7*(1-'Eingabe Eckdaten'!L$18)</f>
        <v>6710000</v>
      </c>
      <c r="K7" s="173">
        <f>I7*'Eingabe Eckdaten'!L$18</f>
        <v>915000</v>
      </c>
      <c r="L7" s="271">
        <v>0</v>
      </c>
      <c r="M7" s="52"/>
      <c r="N7" s="52"/>
      <c r="O7" s="131">
        <f>'Eingabe Eckdaten'!H$42*'Eingabe Eckdaten'!D48+'Eingabe Eckdaten'!H$43*'Eingabe Eckdaten'!F48</f>
        <v>4575000</v>
      </c>
      <c r="P7" s="222">
        <f>('Eingabe Eckdaten'!H$42+'Eingabe Eckdaten'!H$43)*'Eingabe Eckdaten'!H48</f>
        <v>0</v>
      </c>
      <c r="Q7" s="53">
        <f>('Eingabe Eckdaten'!H$42+'Eingabe Eckdaten'!H$43)*'Eingabe Eckdaten'!J48</f>
        <v>0</v>
      </c>
      <c r="R7" s="51">
        <f t="shared" si="1"/>
        <v>4575000</v>
      </c>
      <c r="S7" s="131">
        <f>R7*'Eingabe Eckdaten'!L$40</f>
        <v>2745000</v>
      </c>
      <c r="T7" s="173">
        <v>0</v>
      </c>
      <c r="U7" s="173">
        <f>R7*'Eingabe Eckdaten'!L$41</f>
        <v>1830000</v>
      </c>
      <c r="V7" s="173">
        <f>S7+U7*(1-'Eingabe Eckdaten'!L$39)</f>
        <v>4300500</v>
      </c>
      <c r="W7" s="173">
        <f>U7*'Eingabe Eckdaten'!L$39</f>
        <v>274500</v>
      </c>
      <c r="X7" s="173">
        <v>0</v>
      </c>
      <c r="AA7" s="131">
        <f>'Eingabe Eckdaten'!H$63*'Eingabe Eckdaten'!D69+'Eingabe Eckdaten'!H$64*'Eingabe Eckdaten'!F69</f>
        <v>4575000</v>
      </c>
      <c r="AB7" s="222">
        <f>('Eingabe Eckdaten'!H$63+'Eingabe Eckdaten'!H$64)*'Eingabe Eckdaten'!H69</f>
        <v>0</v>
      </c>
      <c r="AC7" s="222">
        <f>('Eingabe Eckdaten'!H$63+'Eingabe Eckdaten'!H$64)*'Eingabe Eckdaten'!J69</f>
        <v>0</v>
      </c>
      <c r="AD7" s="51">
        <f t="shared" si="2"/>
        <v>4575000</v>
      </c>
      <c r="AE7" s="131">
        <f>SUM(AA7:AC7)</f>
        <v>4575000</v>
      </c>
      <c r="AF7" s="173">
        <v>0</v>
      </c>
      <c r="AG7" s="173">
        <f>AD7*'Eingabe Eckdaten'!L$62/100</f>
        <v>0</v>
      </c>
      <c r="AH7" s="173">
        <v>0</v>
      </c>
      <c r="AI7" s="173">
        <v>0</v>
      </c>
      <c r="AJ7" s="173">
        <v>0</v>
      </c>
      <c r="AM7" s="4"/>
      <c r="AN7" s="131">
        <f>'Interne Berechunung'!AT$185*'Interne Berechunung'!AP191+'Interne Berechunung'!AT$186*'Interne Berechunung'!AR191</f>
        <v>6125000</v>
      </c>
      <c r="AO7" s="222">
        <f>('Interne Berechunung'!AT$185+'Interne Berechunung'!AT$186)*'Interne Berechunung'!AT191</f>
        <v>0</v>
      </c>
      <c r="AP7" s="53">
        <f>('Interne Berechunung'!AT$185+'Interne Berechunung'!AT$186)*'Interne Berechunung'!AV191</f>
        <v>0</v>
      </c>
      <c r="AQ7" s="51">
        <f t="shared" si="3"/>
        <v>6125000</v>
      </c>
      <c r="AR7" s="131">
        <f>AQ7*'Interne Berechunung'!AX$183</f>
        <v>3675000</v>
      </c>
      <c r="AS7" s="173">
        <v>0</v>
      </c>
      <c r="AT7" s="173">
        <f>AQ7*'Interne Berechunung'!AX$184</f>
        <v>2450000</v>
      </c>
      <c r="AU7" s="173">
        <f>AR7+AT7*(1-'Interne Berechunung'!AX$182)</f>
        <v>5757500</v>
      </c>
      <c r="AV7" s="173">
        <f>AT7*'Interne Berechunung'!AX$182</f>
        <v>367500</v>
      </c>
      <c r="AW7" s="173">
        <v>0</v>
      </c>
      <c r="AY7" s="4"/>
      <c r="AZ7" s="131">
        <f>'Interne Berechunung'!BF$185*'Interne Berechunung'!BB191+'Interne Berechunung'!BF$186*'Interne Berechunung'!BD191</f>
        <v>6125000</v>
      </c>
      <c r="BA7" s="222">
        <f>('Interne Berechunung'!BF$185+'Interne Berechunung'!BF$186)*'Interne Berechunung'!BF191</f>
        <v>0</v>
      </c>
      <c r="BB7" s="222">
        <f>('Interne Berechunung'!BF$185+'Interne Berechunung'!BF$186)*'Interne Berechunung'!BH191</f>
        <v>0</v>
      </c>
      <c r="BC7" s="51">
        <f t="shared" si="4"/>
        <v>6125000</v>
      </c>
      <c r="BD7" s="131">
        <f>SUM(AZ7:BB7)</f>
        <v>6125000</v>
      </c>
      <c r="BE7" s="173">
        <v>0</v>
      </c>
      <c r="BF7" s="173">
        <f>BC7*'Interne Berechunung'!BJ$184/100</f>
        <v>0</v>
      </c>
      <c r="BG7" s="173">
        <v>0</v>
      </c>
      <c r="BH7" s="173">
        <v>0</v>
      </c>
      <c r="BI7" s="173">
        <v>0</v>
      </c>
    </row>
    <row r="8" spans="1:63" x14ac:dyDescent="0.25">
      <c r="A8" s="1018" t="s">
        <v>570</v>
      </c>
      <c r="B8" s="999"/>
      <c r="C8" s="131">
        <f>'Eingabe Eckdaten'!H$21*'Eingabe Eckdaten'!D28+'Eingabe Eckdaten'!H$22*'Eingabe Eckdaten'!F28</f>
        <v>1625000</v>
      </c>
      <c r="D8" s="91">
        <f>('Eingabe Eckdaten'!H$21+'Eingabe Eckdaten'!H$22)*'Eingabe Eckdaten'!H28</f>
        <v>0</v>
      </c>
      <c r="E8" s="85">
        <f>('Eingabe Eckdaten'!H$21+'Eingabe Eckdaten'!H$22)*'Eingabe Eckdaten'!J28</f>
        <v>0</v>
      </c>
      <c r="F8" s="173">
        <f t="shared" si="0"/>
        <v>1625000</v>
      </c>
      <c r="G8" s="131">
        <f>F8*'Eingabe Eckdaten'!L$19</f>
        <v>650000</v>
      </c>
      <c r="H8" s="173">
        <v>0</v>
      </c>
      <c r="I8" s="173">
        <f>F8*'Eingabe Eckdaten'!L$20</f>
        <v>975000</v>
      </c>
      <c r="J8" s="173">
        <f>G8+I8*(1-'Eingabe Eckdaten'!L$18)</f>
        <v>1430000</v>
      </c>
      <c r="K8" s="173">
        <f>I8*'Eingabe Eckdaten'!L$18</f>
        <v>195000</v>
      </c>
      <c r="L8" s="271">
        <v>0</v>
      </c>
      <c r="M8" s="52"/>
      <c r="N8" s="52"/>
      <c r="O8" s="131">
        <f>'Eingabe Eckdaten'!H$42*'Eingabe Eckdaten'!D49+'Eingabe Eckdaten'!H$43*'Eingabe Eckdaten'!F49</f>
        <v>825000</v>
      </c>
      <c r="P8" s="222">
        <f>('Eingabe Eckdaten'!H$42+'Eingabe Eckdaten'!H$43)*'Eingabe Eckdaten'!H49</f>
        <v>0</v>
      </c>
      <c r="Q8" s="53">
        <f>('Eingabe Eckdaten'!H$42+'Eingabe Eckdaten'!H$43)*'Eingabe Eckdaten'!J49</f>
        <v>0</v>
      </c>
      <c r="R8" s="51">
        <f t="shared" si="1"/>
        <v>825000</v>
      </c>
      <c r="S8" s="131">
        <f>R8*'Eingabe Eckdaten'!L$40</f>
        <v>495000</v>
      </c>
      <c r="T8" s="173">
        <v>0</v>
      </c>
      <c r="U8" s="173">
        <f>R8*'Eingabe Eckdaten'!L$41</f>
        <v>330000</v>
      </c>
      <c r="V8" s="173">
        <f>S8+U8*(1-'Eingabe Eckdaten'!L$39)</f>
        <v>775500</v>
      </c>
      <c r="W8" s="173">
        <f>U8*'Eingabe Eckdaten'!L$39</f>
        <v>49500</v>
      </c>
      <c r="X8" s="173">
        <v>0</v>
      </c>
      <c r="AA8" s="131">
        <f>'Eingabe Eckdaten'!H$63*'Eingabe Eckdaten'!D70+'Eingabe Eckdaten'!H$64*'Eingabe Eckdaten'!F70</f>
        <v>825000</v>
      </c>
      <c r="AB8" s="222">
        <f>('Eingabe Eckdaten'!H$63+'Eingabe Eckdaten'!H$64)*'Eingabe Eckdaten'!H70</f>
        <v>0</v>
      </c>
      <c r="AC8" s="222">
        <f>('Eingabe Eckdaten'!H$63+'Eingabe Eckdaten'!H$64)*'Eingabe Eckdaten'!J70</f>
        <v>0</v>
      </c>
      <c r="AD8" s="51">
        <f t="shared" si="2"/>
        <v>825000</v>
      </c>
      <c r="AE8" s="131">
        <f>SUM(AA8:AC8)</f>
        <v>825000</v>
      </c>
      <c r="AF8" s="173">
        <v>0</v>
      </c>
      <c r="AG8" s="173">
        <f>AD8*'Eingabe Eckdaten'!L$62/100</f>
        <v>0</v>
      </c>
      <c r="AH8" s="173">
        <v>0</v>
      </c>
      <c r="AI8" s="173">
        <v>0</v>
      </c>
      <c r="AJ8" s="173">
        <v>0</v>
      </c>
      <c r="AM8" s="4"/>
      <c r="AN8" s="131">
        <f>'Interne Berechunung'!AT$185*'Interne Berechunung'!AP192+'Interne Berechunung'!AT$186*'Interne Berechunung'!AR192</f>
        <v>1125000</v>
      </c>
      <c r="AO8" s="222">
        <f>('Interne Berechunung'!AT$185+'Interne Berechunung'!AT$186)*'Interne Berechunung'!AT192</f>
        <v>0</v>
      </c>
      <c r="AP8" s="53">
        <f>('Interne Berechunung'!AT$185+'Interne Berechunung'!AT$186)*'Interne Berechunung'!AV192</f>
        <v>0</v>
      </c>
      <c r="AQ8" s="51">
        <f t="shared" si="3"/>
        <v>1125000</v>
      </c>
      <c r="AR8" s="131">
        <f>AQ8*'Interne Berechunung'!AX$183</f>
        <v>675000</v>
      </c>
      <c r="AS8" s="173">
        <v>0</v>
      </c>
      <c r="AT8" s="173">
        <f>AQ8*'Interne Berechunung'!AX$184</f>
        <v>450000</v>
      </c>
      <c r="AU8" s="173">
        <f>AR8+AT8*(1-'Interne Berechunung'!AX$182)</f>
        <v>1057500</v>
      </c>
      <c r="AV8" s="173">
        <f>AT8*'Interne Berechunung'!AX$182</f>
        <v>67500</v>
      </c>
      <c r="AW8" s="173">
        <v>0</v>
      </c>
      <c r="AY8" s="4"/>
      <c r="AZ8" s="131">
        <f>'Interne Berechunung'!BF$185*'Interne Berechunung'!BB192+'Interne Berechunung'!BF$186*'Interne Berechunung'!BD192</f>
        <v>1125000</v>
      </c>
      <c r="BA8" s="222">
        <f>('Interne Berechunung'!BF$185+'Interne Berechunung'!BF$186)*'Interne Berechunung'!BF192</f>
        <v>0</v>
      </c>
      <c r="BB8" s="222">
        <f>('Interne Berechunung'!BF$185+'Interne Berechunung'!BF$186)*'Interne Berechunung'!BH192</f>
        <v>0</v>
      </c>
      <c r="BC8" s="51">
        <f t="shared" si="4"/>
        <v>1125000</v>
      </c>
      <c r="BD8" s="131">
        <f>SUM(AZ8:BB8)</f>
        <v>1125000</v>
      </c>
      <c r="BE8" s="173">
        <v>0</v>
      </c>
      <c r="BF8" s="173">
        <f>BC8*'Interne Berechunung'!BJ$184/100</f>
        <v>0</v>
      </c>
      <c r="BG8" s="173">
        <v>0</v>
      </c>
      <c r="BH8" s="173">
        <v>0</v>
      </c>
      <c r="BI8" s="173">
        <v>0</v>
      </c>
    </row>
    <row r="9" spans="1:63" x14ac:dyDescent="0.25">
      <c r="A9" s="1018" t="s">
        <v>668</v>
      </c>
      <c r="B9" s="999"/>
      <c r="C9" s="131">
        <f>'Eingabe Eckdaten'!H$21*'Eingabe Eckdaten'!D29+'Eingabe Eckdaten'!H$22*'Eingabe Eckdaten'!F29</f>
        <v>3000000</v>
      </c>
      <c r="D9" s="91">
        <f>('Eingabe Eckdaten'!H$21+'Eingabe Eckdaten'!H$22)*'Eingabe Eckdaten'!H29</f>
        <v>0</v>
      </c>
      <c r="E9" s="85">
        <f>('Eingabe Eckdaten'!H$21+'Eingabe Eckdaten'!H$22)*'Eingabe Eckdaten'!J29</f>
        <v>0</v>
      </c>
      <c r="F9" s="173">
        <f t="shared" si="0"/>
        <v>3000000</v>
      </c>
      <c r="G9" s="131">
        <f>F9*'Eingabe Eckdaten'!L$19</f>
        <v>1200000</v>
      </c>
      <c r="H9" s="173">
        <v>0</v>
      </c>
      <c r="I9" s="173">
        <f>F9*'Eingabe Eckdaten'!L$20</f>
        <v>1800000</v>
      </c>
      <c r="J9" s="173">
        <f>G9+I9*(1-'Eingabe Eckdaten'!L$18)</f>
        <v>2640000</v>
      </c>
      <c r="K9" s="173">
        <f>I9*'Eingabe Eckdaten'!L$18</f>
        <v>360000</v>
      </c>
      <c r="L9" s="271">
        <v>0</v>
      </c>
      <c r="M9" s="52"/>
      <c r="N9" s="52"/>
      <c r="O9" s="131">
        <f>'Eingabe Eckdaten'!H$42*'Eingabe Eckdaten'!D50+'Eingabe Eckdaten'!H$43*'Eingabe Eckdaten'!F50</f>
        <v>1500000</v>
      </c>
      <c r="P9" s="222">
        <f>('Eingabe Eckdaten'!H$42+'Eingabe Eckdaten'!H$43)*'Eingabe Eckdaten'!H50</f>
        <v>0</v>
      </c>
      <c r="Q9" s="53">
        <f>('Eingabe Eckdaten'!H$42+'Eingabe Eckdaten'!H$43)*'Eingabe Eckdaten'!J50</f>
        <v>0</v>
      </c>
      <c r="R9" s="51">
        <f t="shared" si="1"/>
        <v>1500000</v>
      </c>
      <c r="S9" s="131">
        <f>R9*'Eingabe Eckdaten'!L$40</f>
        <v>900000</v>
      </c>
      <c r="T9" s="173">
        <v>0</v>
      </c>
      <c r="U9" s="173">
        <f>R9*'Eingabe Eckdaten'!L$41</f>
        <v>600000</v>
      </c>
      <c r="V9" s="173">
        <f>S9+U9*(1-'Eingabe Eckdaten'!L$39)</f>
        <v>1410000</v>
      </c>
      <c r="W9" s="173">
        <f>U9*'Eingabe Eckdaten'!L$39</f>
        <v>90000</v>
      </c>
      <c r="X9" s="173">
        <v>0</v>
      </c>
      <c r="AA9" s="131">
        <f>'Eingabe Eckdaten'!H$63*'Eingabe Eckdaten'!D71+'Eingabe Eckdaten'!H$64*'Eingabe Eckdaten'!F71</f>
        <v>0</v>
      </c>
      <c r="AB9" s="222">
        <f>('Eingabe Eckdaten'!H$63+'Eingabe Eckdaten'!H$64)*'Eingabe Eckdaten'!H71</f>
        <v>525000</v>
      </c>
      <c r="AC9" s="222">
        <f>('Eingabe Eckdaten'!H$63+'Eingabe Eckdaten'!H$64)*'Eingabe Eckdaten'!J71</f>
        <v>1575000</v>
      </c>
      <c r="AD9" s="51">
        <f t="shared" si="2"/>
        <v>2100000</v>
      </c>
      <c r="AE9" s="131">
        <f>SUM(AA9:AC9)</f>
        <v>2100000</v>
      </c>
      <c r="AF9" s="173">
        <v>0</v>
      </c>
      <c r="AG9" s="173">
        <f>AD9*'Eingabe Eckdaten'!L$62/100</f>
        <v>0</v>
      </c>
      <c r="AH9" s="173">
        <v>0</v>
      </c>
      <c r="AI9" s="173">
        <v>0</v>
      </c>
      <c r="AJ9" s="173">
        <v>0</v>
      </c>
      <c r="AM9" s="4"/>
      <c r="AN9" s="131">
        <f>'Interne Berechunung'!AT$185*'Interne Berechunung'!AP193+'Interne Berechunung'!AT$186*'Interne Berechunung'!AR193</f>
        <v>2000000</v>
      </c>
      <c r="AO9" s="222">
        <f>('Interne Berechunung'!AT$185+'Interne Berechunung'!AT$186)*'Interne Berechunung'!AT193</f>
        <v>0</v>
      </c>
      <c r="AP9" s="53">
        <f>('Interne Berechunung'!AT$185+'Interne Berechunung'!AT$186)*'Interne Berechunung'!AV193</f>
        <v>0</v>
      </c>
      <c r="AQ9" s="51">
        <f t="shared" si="3"/>
        <v>2000000</v>
      </c>
      <c r="AR9" s="131">
        <f>AQ9*'Interne Berechunung'!AX$183</f>
        <v>1200000</v>
      </c>
      <c r="AS9" s="173">
        <v>0</v>
      </c>
      <c r="AT9" s="173">
        <f>AQ9*'Interne Berechunung'!AX$184</f>
        <v>800000</v>
      </c>
      <c r="AU9" s="173">
        <f>AR9+AT9*(1-'Interne Berechunung'!AX$182)</f>
        <v>1880000</v>
      </c>
      <c r="AV9" s="173">
        <f>AT9*'Interne Berechunung'!AX$182</f>
        <v>120000</v>
      </c>
      <c r="AW9" s="173">
        <v>0</v>
      </c>
      <c r="AY9" s="4"/>
      <c r="AZ9" s="131">
        <f>'Interne Berechunung'!BF$185*'Interne Berechunung'!BB193+'Interne Berechunung'!BF$186*'Interne Berechunung'!BD193</f>
        <v>0</v>
      </c>
      <c r="BA9" s="222">
        <f>('Interne Berechunung'!BF$185+'Interne Berechunung'!BF$186)*'Interne Berechunung'!BF193</f>
        <v>750000</v>
      </c>
      <c r="BB9" s="222">
        <f>('Interne Berechunung'!BF$185+'Interne Berechunung'!BF$186)*'Interne Berechunung'!BH193</f>
        <v>2250000</v>
      </c>
      <c r="BC9" s="51">
        <f t="shared" si="4"/>
        <v>3000000</v>
      </c>
      <c r="BD9" s="131">
        <f>SUM(AZ9:BB9)</f>
        <v>3000000</v>
      </c>
      <c r="BE9" s="173">
        <v>0</v>
      </c>
      <c r="BF9" s="173">
        <f>BC9*'Interne Berechunung'!BJ$184/100</f>
        <v>0</v>
      </c>
      <c r="BG9" s="173">
        <v>0</v>
      </c>
      <c r="BH9" s="173">
        <v>0</v>
      </c>
      <c r="BI9" s="173">
        <v>0</v>
      </c>
    </row>
    <row r="10" spans="1:63" x14ac:dyDescent="0.25">
      <c r="A10" s="1018" t="s">
        <v>453</v>
      </c>
      <c r="B10" s="999"/>
      <c r="C10" s="131">
        <f>'Eingabe Eckdaten'!H$21*'Eingabe Eckdaten'!D30+'Eingabe Eckdaten'!H$22*'Eingabe Eckdaten'!F30</f>
        <v>7500000</v>
      </c>
      <c r="D10" s="91">
        <f>('Eingabe Eckdaten'!H$21+'Eingabe Eckdaten'!H$22)*'Eingabe Eckdaten'!H30</f>
        <v>375000</v>
      </c>
      <c r="E10" s="85">
        <f>('Eingabe Eckdaten'!H$21+'Eingabe Eckdaten'!H$22)*'Eingabe Eckdaten'!J30</f>
        <v>0</v>
      </c>
      <c r="F10" s="173">
        <f t="shared" si="0"/>
        <v>7875000</v>
      </c>
      <c r="G10" s="131">
        <f>(F10+D21+E21)*'Eingabe Eckdaten'!L$19</f>
        <v>3287787.5</v>
      </c>
      <c r="H10" s="173">
        <v>0</v>
      </c>
      <c r="I10" s="173">
        <f>(F10+D21+E21)*'Eingabe Eckdaten'!L$20</f>
        <v>4931681.25</v>
      </c>
      <c r="J10" s="173">
        <f>G10+I10*(1-'Eingabe Eckdaten'!L$18)</f>
        <v>7233132.5</v>
      </c>
      <c r="K10" s="173">
        <f>I10*'Eingabe Eckdaten'!L$18</f>
        <v>986336.25</v>
      </c>
      <c r="L10" s="271">
        <v>0</v>
      </c>
      <c r="O10" s="131">
        <f>'Eingabe Eckdaten'!H$42*'Eingabe Eckdaten'!D51+'Eingabe Eckdaten'!H$43*'Eingabe Eckdaten'!F51</f>
        <v>4050000</v>
      </c>
      <c r="P10" s="222">
        <f>('Eingabe Eckdaten'!H$42+'Eingabe Eckdaten'!H$43)*'Eingabe Eckdaten'!H51</f>
        <v>1050000</v>
      </c>
      <c r="Q10" s="53">
        <f>('Eingabe Eckdaten'!H$42+'Eingabe Eckdaten'!H$43)*'Eingabe Eckdaten'!J51</f>
        <v>0</v>
      </c>
      <c r="R10" s="51">
        <f t="shared" si="1"/>
        <v>5100000</v>
      </c>
      <c r="S10" s="131">
        <f>(R10+P21+Q21)*'Eingabe Eckdaten'!L$40</f>
        <v>3208810.5</v>
      </c>
      <c r="T10" s="173">
        <v>0</v>
      </c>
      <c r="U10" s="173">
        <f>(R10+P21+Q21)*'Eingabe Eckdaten'!L$41</f>
        <v>2139207</v>
      </c>
      <c r="V10" s="173">
        <f>S10+U10*(1-'Eingabe Eckdaten'!L$39)</f>
        <v>5027136.45</v>
      </c>
      <c r="W10" s="173">
        <f>U10*'Eingabe Eckdaten'!L$39</f>
        <v>320881.05</v>
      </c>
      <c r="X10" s="173">
        <v>0</v>
      </c>
      <c r="AA10" s="131">
        <f>'Eingabe Eckdaten'!H$63*'Eingabe Eckdaten'!D72+'Eingabe Eckdaten'!H$64*'Eingabe Eckdaten'!F72</f>
        <v>0</v>
      </c>
      <c r="AB10" s="222">
        <f>('Eingabe Eckdaten'!H$63+'Eingabe Eckdaten'!H$64)*'Eingabe Eckdaten'!H72</f>
        <v>525000</v>
      </c>
      <c r="AC10" s="222">
        <f>('Eingabe Eckdaten'!H$63+'Eingabe Eckdaten'!H$64)*'Eingabe Eckdaten'!J72</f>
        <v>1050000</v>
      </c>
      <c r="AD10" s="51">
        <f t="shared" si="2"/>
        <v>1575000</v>
      </c>
      <c r="AE10" s="131">
        <v>0</v>
      </c>
      <c r="AF10" s="173">
        <v>0</v>
      </c>
      <c r="AG10" s="173">
        <f>AD10*'Eingabe Eckdaten'!L$62/100</f>
        <v>0</v>
      </c>
      <c r="AH10" s="173">
        <v>0</v>
      </c>
      <c r="AI10" s="173">
        <v>0</v>
      </c>
      <c r="AJ10" s="173">
        <v>0</v>
      </c>
      <c r="AM10" s="4"/>
      <c r="AN10" s="131">
        <f>'Interne Berechunung'!AT$185*'Interne Berechunung'!AP194+'Interne Berechunung'!AT$186*'Interne Berechunung'!AR194</f>
        <v>5625000</v>
      </c>
      <c r="AO10" s="222">
        <f>('Interne Berechunung'!AT$185+'Interne Berechunung'!AT$186)*'Interne Berechunung'!AT194</f>
        <v>1500000</v>
      </c>
      <c r="AP10" s="53">
        <f>('Interne Berechunung'!AT$185+'Interne Berechunung'!AT$186)*'Interne Berechunung'!AV194</f>
        <v>0</v>
      </c>
      <c r="AQ10" s="51">
        <f t="shared" si="3"/>
        <v>7125000</v>
      </c>
      <c r="AR10" s="131">
        <f>(AQ10+AO21+AP21)*'Interne Berechunung'!AX$183</f>
        <v>4481681.25</v>
      </c>
      <c r="AS10" s="173">
        <v>0</v>
      </c>
      <c r="AT10" s="173">
        <f>(AQ10+AO21+AP21)*'Interne Berechunung'!AX$184</f>
        <v>2987787.5</v>
      </c>
      <c r="AU10" s="173">
        <f>AR10+AT10*(1-'Interne Berechunung'!AX$182)</f>
        <v>7021300.625</v>
      </c>
      <c r="AV10" s="173">
        <f>AT10*'Interne Berechunung'!AX$182</f>
        <v>448168.125</v>
      </c>
      <c r="AW10" s="173">
        <v>0</v>
      </c>
      <c r="AY10" s="4"/>
      <c r="AZ10" s="131">
        <f>'Interne Berechunung'!BF$185*'Interne Berechunung'!BB194+'Interne Berechunung'!BF$186*'Interne Berechunung'!BD194</f>
        <v>0</v>
      </c>
      <c r="BA10" s="222">
        <f>('Interne Berechunung'!BF$185+'Interne Berechunung'!BF$186)*'Interne Berechunung'!BF194</f>
        <v>750000</v>
      </c>
      <c r="BB10" s="222">
        <f>('Interne Berechunung'!BF$185+'Interne Berechunung'!BF$186)*'Interne Berechunung'!BH194</f>
        <v>1500000</v>
      </c>
      <c r="BC10" s="51">
        <f t="shared" si="4"/>
        <v>2250000</v>
      </c>
      <c r="BD10" s="131">
        <v>0</v>
      </c>
      <c r="BE10" s="173">
        <v>0</v>
      </c>
      <c r="BF10" s="173">
        <f>BC10*'Interne Berechunung'!BJ$184/100</f>
        <v>0</v>
      </c>
      <c r="BG10" s="173">
        <v>0</v>
      </c>
      <c r="BH10" s="173">
        <v>0</v>
      </c>
      <c r="BI10" s="173">
        <v>0</v>
      </c>
    </row>
    <row r="11" spans="1:63" x14ac:dyDescent="0.25">
      <c r="A11" s="1018" t="s">
        <v>454</v>
      </c>
      <c r="B11" s="999"/>
      <c r="C11" s="131">
        <f>'Eingabe Eckdaten'!H$21*'Eingabe Eckdaten'!D31+'Eingabe Eckdaten'!H$22*'Eingabe Eckdaten'!F31</f>
        <v>2000000</v>
      </c>
      <c r="D11" s="91">
        <f>('Eingabe Eckdaten'!H$21+'Eingabe Eckdaten'!H$22)*'Eingabe Eckdaten'!H31</f>
        <v>375000</v>
      </c>
      <c r="E11" s="85">
        <f>('Eingabe Eckdaten'!H$21+'Eingabe Eckdaten'!H$22)*'Eingabe Eckdaten'!J31</f>
        <v>0</v>
      </c>
      <c r="F11" s="173">
        <f t="shared" si="0"/>
        <v>2375000</v>
      </c>
      <c r="G11" s="131">
        <f>F11*'Eingabe Eckdaten'!L$19</f>
        <v>950000</v>
      </c>
      <c r="H11" s="173">
        <v>0</v>
      </c>
      <c r="I11" s="173">
        <f>F11*'Eingabe Eckdaten'!L$20</f>
        <v>1425000</v>
      </c>
      <c r="J11" s="173">
        <f>G11+I11*(1-'Eingabe Eckdaten'!L$18)</f>
        <v>2090000</v>
      </c>
      <c r="K11" s="173">
        <f>I11*'Eingabe Eckdaten'!L$18</f>
        <v>285000</v>
      </c>
      <c r="L11" s="271">
        <v>0</v>
      </c>
      <c r="O11" s="131">
        <f>'Eingabe Eckdaten'!H$42*'Eingabe Eckdaten'!D52+'Eingabe Eckdaten'!H$43*'Eingabe Eckdaten'!F52</f>
        <v>1425000</v>
      </c>
      <c r="P11" s="222">
        <f>('Eingabe Eckdaten'!H$42+'Eingabe Eckdaten'!H$43)*'Eingabe Eckdaten'!H52</f>
        <v>262500</v>
      </c>
      <c r="Q11" s="53">
        <f>('Eingabe Eckdaten'!H$42+'Eingabe Eckdaten'!H$43)*'Eingabe Eckdaten'!J52</f>
        <v>0</v>
      </c>
      <c r="R11" s="51">
        <f t="shared" si="1"/>
        <v>1687500</v>
      </c>
      <c r="S11" s="131">
        <f>R11*'Eingabe Eckdaten'!L$40</f>
        <v>1012500</v>
      </c>
      <c r="T11" s="173">
        <v>0</v>
      </c>
      <c r="U11" s="173">
        <f>R11*'Eingabe Eckdaten'!L$41</f>
        <v>675000</v>
      </c>
      <c r="V11" s="173">
        <f>S11+U11*(1-'Eingabe Eckdaten'!L$39)</f>
        <v>1586250</v>
      </c>
      <c r="W11" s="173">
        <f>U11*'Eingabe Eckdaten'!L$39</f>
        <v>101250</v>
      </c>
      <c r="X11" s="173">
        <v>0</v>
      </c>
      <c r="AA11" s="131">
        <f>'Eingabe Eckdaten'!H$63*'Eingabe Eckdaten'!D73+'Eingabe Eckdaten'!H$64*'Eingabe Eckdaten'!F73</f>
        <v>0</v>
      </c>
      <c r="AB11" s="222">
        <f>('Eingabe Eckdaten'!H$63+'Eingabe Eckdaten'!H$64)*'Eingabe Eckdaten'!H73</f>
        <v>525000</v>
      </c>
      <c r="AC11" s="222">
        <f>('Eingabe Eckdaten'!H$63+'Eingabe Eckdaten'!H$64)*'Eingabe Eckdaten'!J73</f>
        <v>2362500</v>
      </c>
      <c r="AD11" s="51">
        <f t="shared" si="2"/>
        <v>2887500</v>
      </c>
      <c r="AE11" s="131">
        <f>SUM(AA11:AC11)</f>
        <v>2887500</v>
      </c>
      <c r="AF11" s="173">
        <v>0</v>
      </c>
      <c r="AG11" s="173">
        <f>AD11*'Eingabe Eckdaten'!L$62/100</f>
        <v>0</v>
      </c>
      <c r="AH11" s="173">
        <v>0</v>
      </c>
      <c r="AI11" s="173">
        <v>0</v>
      </c>
      <c r="AJ11" s="173">
        <v>0</v>
      </c>
      <c r="AM11" s="4"/>
      <c r="AN11" s="131">
        <f>'Interne Berechunung'!AT$185*'Interne Berechunung'!AP195+'Interne Berechunung'!AT$186*'Interne Berechunung'!AR195</f>
        <v>2000000</v>
      </c>
      <c r="AO11" s="222">
        <f>('Interne Berechunung'!AT$185+'Interne Berechunung'!AT$186)*'Interne Berechunung'!AT195</f>
        <v>375000</v>
      </c>
      <c r="AP11" s="53">
        <f>('Interne Berechunung'!AT$185+'Interne Berechunung'!AT$186)*'Interne Berechunung'!AV195</f>
        <v>0</v>
      </c>
      <c r="AQ11" s="51">
        <f t="shared" si="3"/>
        <v>2375000</v>
      </c>
      <c r="AR11" s="131">
        <f>AQ11*'Interne Berechunung'!AX$183</f>
        <v>1425000</v>
      </c>
      <c r="AS11" s="173">
        <v>0</v>
      </c>
      <c r="AT11" s="173">
        <f>AQ11*'Interne Berechunung'!AX$184</f>
        <v>950000</v>
      </c>
      <c r="AU11" s="173">
        <f>AR11+AT11*(1-'Interne Berechunung'!AX$182)</f>
        <v>2232500</v>
      </c>
      <c r="AV11" s="173">
        <f>AT11*'Interne Berechunung'!AX$182</f>
        <v>142500</v>
      </c>
      <c r="AW11" s="173">
        <v>0</v>
      </c>
      <c r="AY11" s="4"/>
      <c r="AZ11" s="131">
        <f>'Interne Berechunung'!BF$185*'Interne Berechunung'!BB195+'Interne Berechunung'!BF$186*'Interne Berechunung'!BD195</f>
        <v>0</v>
      </c>
      <c r="BA11" s="222">
        <f>('Interne Berechunung'!BF$185+'Interne Berechunung'!BF$186)*'Interne Berechunung'!BF195</f>
        <v>750000</v>
      </c>
      <c r="BB11" s="222">
        <f>('Interne Berechunung'!BF$185+'Interne Berechunung'!BF$186)*'Interne Berechunung'!BH195</f>
        <v>3375000</v>
      </c>
      <c r="BC11" s="51">
        <f t="shared" si="4"/>
        <v>4125000</v>
      </c>
      <c r="BD11" s="131">
        <f>SUM(AZ11:BB11)</f>
        <v>4125000</v>
      </c>
      <c r="BE11" s="173">
        <v>0</v>
      </c>
      <c r="BF11" s="173">
        <f>BC11*'Interne Berechunung'!BJ$184/100</f>
        <v>0</v>
      </c>
      <c r="BG11" s="173">
        <v>0</v>
      </c>
      <c r="BH11" s="173">
        <v>0</v>
      </c>
      <c r="BI11" s="173">
        <v>0</v>
      </c>
    </row>
    <row r="12" spans="1:63" x14ac:dyDescent="0.25">
      <c r="A12" s="1018" t="s">
        <v>370</v>
      </c>
      <c r="B12" s="999"/>
      <c r="C12" s="131">
        <f>'Eingabe Eckdaten'!H$21*'Eingabe Eckdaten'!D32+'Eingabe Eckdaten'!H$22*'Eingabe Eckdaten'!F32</f>
        <v>2250000</v>
      </c>
      <c r="D12" s="91">
        <f>('Eingabe Eckdaten'!H$21+'Eingabe Eckdaten'!H$22)*'Eingabe Eckdaten'!H32</f>
        <v>1500000</v>
      </c>
      <c r="E12" s="85">
        <f>('Eingabe Eckdaten'!H$21+'Eingabe Eckdaten'!H$22)*'Eingabe Eckdaten'!J32</f>
        <v>0</v>
      </c>
      <c r="F12" s="173">
        <f t="shared" si="0"/>
        <v>3750000</v>
      </c>
      <c r="G12" s="131">
        <v>0</v>
      </c>
      <c r="H12" s="173">
        <v>0</v>
      </c>
      <c r="I12" s="173">
        <v>0</v>
      </c>
      <c r="J12" s="173">
        <v>0</v>
      </c>
      <c r="K12" s="173">
        <v>0</v>
      </c>
      <c r="L12" s="271">
        <v>0</v>
      </c>
      <c r="O12" s="131">
        <f>'Eingabe Eckdaten'!H$42*'Eingabe Eckdaten'!D53+'Eingabe Eckdaten'!H$43*'Eingabe Eckdaten'!F53</f>
        <v>900000</v>
      </c>
      <c r="P12" s="222">
        <f>('Eingabe Eckdaten'!H$42+'Eingabe Eckdaten'!H$43)*'Eingabe Eckdaten'!H53</f>
        <v>2100000</v>
      </c>
      <c r="Q12" s="53">
        <f>('Eingabe Eckdaten'!H$42+'Eingabe Eckdaten'!H$43)*'Eingabe Eckdaten'!J53</f>
        <v>0</v>
      </c>
      <c r="R12" s="51">
        <f t="shared" si="1"/>
        <v>3000000</v>
      </c>
      <c r="S12" s="131">
        <v>0</v>
      </c>
      <c r="T12" s="173">
        <v>0</v>
      </c>
      <c r="U12" s="173">
        <v>0</v>
      </c>
      <c r="V12" s="173">
        <v>0</v>
      </c>
      <c r="W12" s="173">
        <f>U12*'Eingabe Eckdaten'!L$39</f>
        <v>0</v>
      </c>
      <c r="X12" s="173">
        <v>0</v>
      </c>
      <c r="AA12" s="131">
        <f>'Eingabe Eckdaten'!H$63*'Eingabe Eckdaten'!D74+'Eingabe Eckdaten'!H$64*'Eingabe Eckdaten'!F74</f>
        <v>0</v>
      </c>
      <c r="AB12" s="222">
        <f>('Eingabe Eckdaten'!H$63+'Eingabe Eckdaten'!H$64)*'Eingabe Eckdaten'!H74</f>
        <v>2625000</v>
      </c>
      <c r="AC12" s="180">
        <f>('Eingabe Eckdaten'!H$63+'Eingabe Eckdaten'!H$64)*'Eingabe Eckdaten'!J74</f>
        <v>1050000</v>
      </c>
      <c r="AD12" s="51">
        <f t="shared" si="2"/>
        <v>3675000</v>
      </c>
      <c r="AE12" s="131">
        <v>0</v>
      </c>
      <c r="AF12" s="173">
        <v>0</v>
      </c>
      <c r="AG12" s="173">
        <v>0</v>
      </c>
      <c r="AH12" s="173">
        <v>0</v>
      </c>
      <c r="AI12" s="173">
        <v>0</v>
      </c>
      <c r="AJ12" s="173">
        <v>0</v>
      </c>
      <c r="AM12" s="4"/>
      <c r="AN12" s="131">
        <f>'Interne Berechunung'!AT$185*'Interne Berechunung'!AP196+'Interne Berechunung'!AT$186*'Interne Berechunung'!AR196</f>
        <v>1250000</v>
      </c>
      <c r="AO12" s="222">
        <f>('Interne Berechunung'!AT$185+'Interne Berechunung'!AT$186)*'Interne Berechunung'!AT196</f>
        <v>3000000</v>
      </c>
      <c r="AP12" s="53">
        <f>('Interne Berechunung'!AT$185+'Interne Berechunung'!AT$186)*'Interne Berechunung'!AV196</f>
        <v>0</v>
      </c>
      <c r="AQ12" s="51">
        <f t="shared" si="3"/>
        <v>4250000</v>
      </c>
      <c r="AR12" s="131">
        <v>0</v>
      </c>
      <c r="AS12" s="173">
        <v>0</v>
      </c>
      <c r="AT12" s="173">
        <v>0</v>
      </c>
      <c r="AU12" s="173">
        <v>0</v>
      </c>
      <c r="AV12" s="173">
        <f>AT12*'Interne Berechunung'!AX$182</f>
        <v>0</v>
      </c>
      <c r="AW12" s="173">
        <v>0</v>
      </c>
      <c r="AY12" s="4"/>
      <c r="AZ12" s="131">
        <f>'Interne Berechunung'!BF$185*'Interne Berechunung'!BB196+'Interne Berechunung'!BF$186*'Interne Berechunung'!BD196</f>
        <v>0</v>
      </c>
      <c r="BA12" s="222">
        <f>('Interne Berechunung'!BF$185+'Interne Berechunung'!BF$186)*'Interne Berechunung'!BF196</f>
        <v>3750000</v>
      </c>
      <c r="BB12" s="180">
        <f>('Interne Berechunung'!BF$185+'Interne Berechunung'!BF$186)*'Interne Berechunung'!BH196</f>
        <v>1500000</v>
      </c>
      <c r="BC12" s="51">
        <f t="shared" si="4"/>
        <v>5250000</v>
      </c>
      <c r="BD12" s="131">
        <v>0</v>
      </c>
      <c r="BE12" s="173">
        <v>0</v>
      </c>
      <c r="BF12" s="173">
        <v>0</v>
      </c>
      <c r="BG12" s="173">
        <v>0</v>
      </c>
      <c r="BH12" s="173">
        <v>0</v>
      </c>
      <c r="BI12" s="173">
        <v>0</v>
      </c>
    </row>
    <row r="13" spans="1:63" x14ac:dyDescent="0.25">
      <c r="A13" s="1023" t="s">
        <v>267</v>
      </c>
      <c r="B13" s="1000"/>
      <c r="C13" s="182">
        <f>SUM(C6:C12)</f>
        <v>25125000</v>
      </c>
      <c r="D13" s="174">
        <f>SUM(D6:D12)</f>
        <v>2250000</v>
      </c>
      <c r="E13" s="174">
        <f>SUM(E6:E12)</f>
        <v>0</v>
      </c>
      <c r="F13" s="56">
        <f>SUM(F6:F12)</f>
        <v>27375000</v>
      </c>
      <c r="G13" s="181">
        <f>SUM(G6:G12)</f>
        <v>9362787.5</v>
      </c>
      <c r="H13" s="56">
        <v>0</v>
      </c>
      <c r="I13" s="56">
        <f>SUM(I6:I12)</f>
        <v>14044181.25</v>
      </c>
      <c r="J13" s="56">
        <f>SUM(J6:J12)</f>
        <v>20598132.5</v>
      </c>
      <c r="K13" s="56">
        <f>SUM(K6:K12)</f>
        <v>2808836.25</v>
      </c>
      <c r="L13" s="261">
        <v>0</v>
      </c>
      <c r="O13" s="182">
        <f>SUM(O6:O12)</f>
        <v>14100000</v>
      </c>
      <c r="P13" s="174">
        <f>SUM(P6:P12)</f>
        <v>3412500</v>
      </c>
      <c r="Q13" s="174">
        <f>SUM(Q6:Q12)</f>
        <v>0</v>
      </c>
      <c r="R13" s="56">
        <f>SUM(R6:R12)</f>
        <v>17512500</v>
      </c>
      <c r="S13" s="181">
        <f>SUM(S6:S12)</f>
        <v>8608810.5</v>
      </c>
      <c r="T13" s="56">
        <v>0</v>
      </c>
      <c r="U13" s="56">
        <f>SUM(U6:U12)</f>
        <v>5739207</v>
      </c>
      <c r="V13" s="56">
        <f>SUM(V6:V12)</f>
        <v>13487136.449999999</v>
      </c>
      <c r="W13" s="56">
        <f>SUM(W6:W12)</f>
        <v>860881.05</v>
      </c>
      <c r="X13" s="56">
        <v>0</v>
      </c>
      <c r="AA13" s="182">
        <f>SUM(AA6:AA12)</f>
        <v>6225000</v>
      </c>
      <c r="AB13" s="174">
        <f>SUM(AB6:AB12)</f>
        <v>4200000</v>
      </c>
      <c r="AC13" s="222">
        <f>SUM(AC6:AC12)</f>
        <v>6037500</v>
      </c>
      <c r="AD13" s="56">
        <f>SUM(AD6:AD12)</f>
        <v>16462500</v>
      </c>
      <c r="AE13" s="181">
        <f>SUM(AE6:AE12)</f>
        <v>10800000</v>
      </c>
      <c r="AF13" s="56">
        <v>0</v>
      </c>
      <c r="AG13" s="56">
        <f>SUM(AG6:AG12)</f>
        <v>0</v>
      </c>
      <c r="AH13" s="56">
        <f>SUM(AH6:AH12)</f>
        <v>0</v>
      </c>
      <c r="AI13" s="56">
        <f>SUM(AI6:AI12)</f>
        <v>0</v>
      </c>
      <c r="AJ13" s="56">
        <v>0</v>
      </c>
      <c r="AM13" s="4"/>
      <c r="AN13" s="182">
        <f>SUM(AN6:AN12)</f>
        <v>19250000</v>
      </c>
      <c r="AO13" s="174">
        <f>SUM(AO6:AO12)</f>
        <v>4875000</v>
      </c>
      <c r="AP13" s="174">
        <f>SUM(AP6:AP12)</f>
        <v>0</v>
      </c>
      <c r="AQ13" s="56">
        <f>SUM(AQ6:AQ12)</f>
        <v>24125000</v>
      </c>
      <c r="AR13" s="181">
        <f>SUM(AR6:AR12)</f>
        <v>11794181.25</v>
      </c>
      <c r="AS13" s="56">
        <v>0</v>
      </c>
      <c r="AT13" s="56">
        <f>SUM(AT6:AT12)</f>
        <v>7862787.5</v>
      </c>
      <c r="AU13" s="56">
        <f>SUM(AU6:AU12)</f>
        <v>18477550.625</v>
      </c>
      <c r="AV13" s="56">
        <f>SUM(AV6:AV12)</f>
        <v>1179418.125</v>
      </c>
      <c r="AW13" s="56">
        <v>0</v>
      </c>
      <c r="AY13" s="4"/>
      <c r="AZ13" s="182">
        <f>SUM(AZ6:AZ12)</f>
        <v>8375000</v>
      </c>
      <c r="BA13" s="174">
        <f>SUM(BA6:BA12)</f>
        <v>6000000</v>
      </c>
      <c r="BB13" s="222">
        <f>SUM(BB6:BB12)</f>
        <v>8625000</v>
      </c>
      <c r="BC13" s="56">
        <f>SUM(BC6:BC12)</f>
        <v>23000000</v>
      </c>
      <c r="BD13" s="181">
        <f>SUM(BD6:BD12)</f>
        <v>14937500</v>
      </c>
      <c r="BE13" s="56">
        <v>0</v>
      </c>
      <c r="BF13" s="56">
        <f>SUM(BF6:BF12)</f>
        <v>0</v>
      </c>
      <c r="BG13" s="56">
        <f>SUM(BG6:BG12)</f>
        <v>0</v>
      </c>
      <c r="BH13" s="56">
        <f>SUM(BH6:BH12)</f>
        <v>0</v>
      </c>
      <c r="BI13" s="56">
        <v>0</v>
      </c>
    </row>
    <row r="14" spans="1:63" x14ac:dyDescent="0.25">
      <c r="A14" s="1023" t="s">
        <v>414</v>
      </c>
      <c r="B14" s="1000"/>
      <c r="C14" s="2"/>
      <c r="D14" s="268"/>
      <c r="E14" s="54"/>
      <c r="F14" s="177">
        <f>SUM(G14:I14)</f>
        <v>10000000</v>
      </c>
      <c r="G14" s="159">
        <f>'Eingabe Eckdaten'!H20*'Eingabe Eckdaten'!D18*'Eingabe Eckdaten'!L19*0.5</f>
        <v>2000000</v>
      </c>
      <c r="H14" s="56">
        <f>'Eingabe Eckdaten'!H20*'Eingabe Eckdaten'!D18*'Eingabe Eckdaten'!L19*0.5</f>
        <v>2000000</v>
      </c>
      <c r="I14" s="56">
        <f>'Eingabe Eckdaten'!H20*'Eingabe Eckdaten'!D18*'Eingabe Eckdaten'!L20</f>
        <v>6000000</v>
      </c>
      <c r="J14" s="177">
        <f>G14+I14*(1-'Eingabe Eckdaten'!L18)</f>
        <v>6800000</v>
      </c>
      <c r="K14" s="177">
        <f>I14*'Eingabe Eckdaten'!L18</f>
        <v>1200000</v>
      </c>
      <c r="L14" s="272">
        <f>H14</f>
        <v>2000000</v>
      </c>
      <c r="O14" s="2"/>
      <c r="P14" s="50"/>
      <c r="Q14" s="54"/>
      <c r="R14" s="177">
        <f>SUM(S14:U14)</f>
        <v>10000000</v>
      </c>
      <c r="S14" s="159">
        <f>'Eingabe Eckdaten'!H41*'Eingabe Eckdaten'!D39*'Eingabe Eckdaten'!L40*0.5</f>
        <v>3000000</v>
      </c>
      <c r="T14" s="56">
        <f>'Eingabe Eckdaten'!H41*'Eingabe Eckdaten'!D39*'Eingabe Eckdaten'!L40*0.5</f>
        <v>3000000</v>
      </c>
      <c r="U14" s="56">
        <f>'Eingabe Eckdaten'!H41*'Eingabe Eckdaten'!D39*'Eingabe Eckdaten'!L41</f>
        <v>4000000</v>
      </c>
      <c r="V14" s="177">
        <f>S14+U14*(1-'Eingabe Eckdaten'!L39)</f>
        <v>6400000</v>
      </c>
      <c r="W14" s="177">
        <f>U14*'Eingabe Eckdaten'!L39</f>
        <v>600000</v>
      </c>
      <c r="X14" s="177">
        <f>T14</f>
        <v>3000000</v>
      </c>
      <c r="AA14" s="2"/>
      <c r="AB14" s="50"/>
      <c r="AC14" s="54"/>
      <c r="AD14" s="177">
        <f>SUM(AE14:AG14)</f>
        <v>10000000</v>
      </c>
      <c r="AE14" s="159">
        <f>'Eingabe Eckdaten'!H62*'Eingabe Eckdaten'!D60*0.2</f>
        <v>2000000</v>
      </c>
      <c r="AF14" s="56">
        <f>'Eingabe Eckdaten'!H62*'Eingabe Eckdaten'!D60*0.8</f>
        <v>8000000</v>
      </c>
      <c r="AG14" s="56">
        <v>0</v>
      </c>
      <c r="AH14" s="177">
        <v>0</v>
      </c>
      <c r="AI14" s="177">
        <v>0</v>
      </c>
      <c r="AJ14" s="177">
        <f>AF14</f>
        <v>8000000</v>
      </c>
      <c r="AM14" s="4"/>
      <c r="AN14" s="2"/>
      <c r="AO14" s="50"/>
      <c r="AP14" s="54"/>
      <c r="AQ14" s="177">
        <f>SUM(AR14:AT14)</f>
        <v>10000000</v>
      </c>
      <c r="AR14" s="159">
        <f>'Interne Berechunung'!AT184*'Interne Berechunung'!AP182*'Interne Berechunung'!AX183*0.5</f>
        <v>3000000</v>
      </c>
      <c r="AS14" s="56">
        <f>'Interne Berechunung'!AT184*'Interne Berechunung'!AP182*'Interne Berechunung'!AX183*0.5</f>
        <v>3000000</v>
      </c>
      <c r="AT14" s="56">
        <f>'Interne Berechunung'!AT184*'Interne Berechunung'!AP182*'Interne Berechunung'!AX184</f>
        <v>4000000</v>
      </c>
      <c r="AU14" s="177">
        <f>AR14+AT14*(1-'Interne Berechunung'!AX182)</f>
        <v>6400000</v>
      </c>
      <c r="AV14" s="177">
        <f>AT14*'Interne Berechunung'!AX182</f>
        <v>600000</v>
      </c>
      <c r="AW14" s="177">
        <f>AS14</f>
        <v>3000000</v>
      </c>
      <c r="AY14" s="4"/>
      <c r="AZ14" s="2"/>
      <c r="BA14" s="50"/>
      <c r="BB14" s="54"/>
      <c r="BC14" s="177">
        <f>SUM(BD14:BF14)</f>
        <v>10000000</v>
      </c>
      <c r="BD14" s="159">
        <f>'Interne Berechunung'!BF184*'Interne Berechunung'!BB182*0.2</f>
        <v>2000000</v>
      </c>
      <c r="BE14" s="56">
        <f>'Interne Berechunung'!BF184*'Interne Berechunung'!BB182*0.8</f>
        <v>8000000</v>
      </c>
      <c r="BF14" s="56">
        <v>0</v>
      </c>
      <c r="BG14" s="177">
        <v>0</v>
      </c>
      <c r="BH14" s="177">
        <v>0</v>
      </c>
      <c r="BI14" s="177">
        <f>BE14</f>
        <v>8000000</v>
      </c>
    </row>
    <row r="15" spans="1:63" x14ac:dyDescent="0.25">
      <c r="A15" s="1016" t="s">
        <v>344</v>
      </c>
      <c r="B15" s="1002"/>
      <c r="C15" s="7"/>
      <c r="D15" s="267"/>
      <c r="E15" s="77"/>
      <c r="F15" s="57">
        <f>'Eingabe Eckdaten'!H18/1000*10000*'Eingabe Eckdaten'!D20*'Eingabe Eckdaten'!H19</f>
        <v>9100000</v>
      </c>
      <c r="G15" s="131">
        <v>0</v>
      </c>
      <c r="H15" s="178">
        <f>(F15-D13)*'Eingabe Eckdaten'!L19</f>
        <v>2740000</v>
      </c>
      <c r="I15" s="178">
        <f>(F15-D13)*'Eingabe Eckdaten'!L20</f>
        <v>4110000</v>
      </c>
      <c r="J15" s="57">
        <f>G15+I15*(1-'Eingabe Eckdaten'!L18)</f>
        <v>3288000</v>
      </c>
      <c r="K15" s="57">
        <f>I15*'Eingabe Eckdaten'!L18</f>
        <v>822000</v>
      </c>
      <c r="L15" s="273">
        <f>H15</f>
        <v>2740000</v>
      </c>
      <c r="O15" s="7"/>
      <c r="P15" s="125"/>
      <c r="Q15" s="77"/>
      <c r="R15" s="57">
        <f>'Eingabe Eckdaten'!H39/1000*10000*'Eingabe Eckdaten'!D41*'Eingabe Eckdaten'!H40</f>
        <v>9100000</v>
      </c>
      <c r="S15" s="131">
        <v>0</v>
      </c>
      <c r="T15" s="178">
        <f>(R15-P13)*'Eingabe Eckdaten'!L40</f>
        <v>3412500</v>
      </c>
      <c r="U15" s="178">
        <f>(R15-P13)*'Eingabe Eckdaten'!L41</f>
        <v>2275000</v>
      </c>
      <c r="V15" s="57">
        <f>S15+U15*(1-'Eingabe Eckdaten'!L39)</f>
        <v>1933750</v>
      </c>
      <c r="W15" s="57">
        <f>U15*'Eingabe Eckdaten'!L39</f>
        <v>341250</v>
      </c>
      <c r="X15" s="57">
        <f>T15</f>
        <v>3412500</v>
      </c>
      <c r="AA15" s="7"/>
      <c r="AB15" s="125"/>
      <c r="AC15" s="77"/>
      <c r="AD15" s="57">
        <f>'Eingabe Eckdaten'!H60/1000*10000*'Eingabe Eckdaten'!D62*'Eingabe Eckdaten'!H61</f>
        <v>9100000</v>
      </c>
      <c r="AE15" s="131">
        <v>0</v>
      </c>
      <c r="AF15" s="178">
        <f>(AD15-AB13)</f>
        <v>4900000</v>
      </c>
      <c r="AG15" s="178">
        <v>0</v>
      </c>
      <c r="AH15" s="57">
        <v>0</v>
      </c>
      <c r="AI15" s="57">
        <v>0</v>
      </c>
      <c r="AJ15" s="57">
        <f>AF15</f>
        <v>4900000</v>
      </c>
      <c r="AK15" s="4"/>
      <c r="AL15" s="4"/>
      <c r="AM15" s="4"/>
      <c r="AN15" s="7"/>
      <c r="AO15" s="125"/>
      <c r="AP15" s="77"/>
      <c r="AQ15" s="57">
        <f>'Interne Berechunung'!AT182/1000*10000*'Interne Berechunung'!AP184*'Interne Berechunung'!AT183</f>
        <v>9100000</v>
      </c>
      <c r="AR15" s="131">
        <v>0</v>
      </c>
      <c r="AS15" s="178">
        <f>(AQ15-AO13)*'Interne Berechunung'!AX183</f>
        <v>2535000</v>
      </c>
      <c r="AT15" s="178">
        <f>(AQ15-AO13)*'Interne Berechunung'!AX184</f>
        <v>1690000</v>
      </c>
      <c r="AU15" s="57">
        <f>AR15+AT15*(1-'Interne Berechunung'!AX182)</f>
        <v>1436500</v>
      </c>
      <c r="AV15" s="57">
        <f>AT15*'Interne Berechunung'!AX182</f>
        <v>253500</v>
      </c>
      <c r="AW15" s="57">
        <f>AS15</f>
        <v>2535000</v>
      </c>
      <c r="AY15" s="4"/>
      <c r="AZ15" s="7"/>
      <c r="BA15" s="125"/>
      <c r="BB15" s="77"/>
      <c r="BC15" s="57">
        <f>'Interne Berechunung'!BF182/1000*10000*'Interne Berechunung'!BB184*'Interne Berechunung'!BF183</f>
        <v>9100000</v>
      </c>
      <c r="BD15" s="131">
        <v>0</v>
      </c>
      <c r="BE15" s="178">
        <f>(BC15-BA13)</f>
        <v>3100000</v>
      </c>
      <c r="BF15" s="178">
        <v>0</v>
      </c>
      <c r="BG15" s="57">
        <v>0</v>
      </c>
      <c r="BH15" s="57">
        <v>0</v>
      </c>
      <c r="BI15" s="57">
        <f>BE15</f>
        <v>3100000</v>
      </c>
      <c r="BJ15" s="4"/>
      <c r="BK15" s="4"/>
    </row>
    <row r="16" spans="1:63" x14ac:dyDescent="0.25">
      <c r="A16" s="1016" t="s">
        <v>415</v>
      </c>
      <c r="B16" s="1002"/>
      <c r="C16" s="594"/>
      <c r="D16" s="77"/>
      <c r="E16" s="253"/>
      <c r="F16" s="178"/>
      <c r="G16" s="278">
        <f t="shared" ref="G16:L16" si="5">G13+G15+G14</f>
        <v>11362787.5</v>
      </c>
      <c r="H16" s="180">
        <f t="shared" si="5"/>
        <v>4740000</v>
      </c>
      <c r="I16" s="180">
        <f t="shared" si="5"/>
        <v>24154181.25</v>
      </c>
      <c r="J16" s="180">
        <f t="shared" si="5"/>
        <v>30686132.5</v>
      </c>
      <c r="K16" s="180">
        <f t="shared" si="5"/>
        <v>4830836.25</v>
      </c>
      <c r="L16" s="274">
        <f t="shared" si="5"/>
        <v>4740000</v>
      </c>
      <c r="O16" s="175"/>
      <c r="P16" s="749"/>
      <c r="Q16" s="750"/>
      <c r="R16" s="751"/>
      <c r="S16" s="752">
        <f t="shared" ref="S16:X16" si="6">S13+S15+S14</f>
        <v>11608810.5</v>
      </c>
      <c r="T16" s="752">
        <f t="shared" si="6"/>
        <v>6412500</v>
      </c>
      <c r="U16" s="752">
        <f t="shared" si="6"/>
        <v>12014207</v>
      </c>
      <c r="V16" s="752">
        <f>V13+V15+V14</f>
        <v>21820886.449999999</v>
      </c>
      <c r="W16" s="752">
        <f>W13+W15+W14</f>
        <v>1802131.05</v>
      </c>
      <c r="X16" s="752">
        <f t="shared" si="6"/>
        <v>6412500</v>
      </c>
      <c r="AA16" s="753"/>
      <c r="AB16" s="749"/>
      <c r="AC16" s="750"/>
      <c r="AD16" s="751"/>
      <c r="AE16" s="752">
        <f t="shared" ref="AE16:AJ16" si="7">AE13+AE15+AE14</f>
        <v>12800000</v>
      </c>
      <c r="AF16" s="752">
        <f t="shared" si="7"/>
        <v>12900000</v>
      </c>
      <c r="AG16" s="752">
        <f t="shared" si="7"/>
        <v>0</v>
      </c>
      <c r="AH16" s="752">
        <f t="shared" si="7"/>
        <v>0</v>
      </c>
      <c r="AI16" s="752">
        <f>AI13+AI15+AI14</f>
        <v>0</v>
      </c>
      <c r="AJ16" s="752">
        <f t="shared" si="7"/>
        <v>12900000</v>
      </c>
      <c r="AK16" s="4"/>
      <c r="AL16" s="4"/>
      <c r="AM16" s="4"/>
      <c r="AN16" s="175"/>
      <c r="AO16" s="10"/>
      <c r="AP16" s="248"/>
      <c r="AQ16" s="173"/>
      <c r="AR16" s="182">
        <f t="shared" ref="AR16:AW16" si="8">AR13+AR15+AR14</f>
        <v>14794181.25</v>
      </c>
      <c r="AS16" s="91">
        <f t="shared" si="8"/>
        <v>5535000</v>
      </c>
      <c r="AT16" s="91">
        <f t="shared" si="8"/>
        <v>13552787.5</v>
      </c>
      <c r="AU16" s="91">
        <f t="shared" si="8"/>
        <v>26314050.625</v>
      </c>
      <c r="AV16" s="91">
        <f>AV13+AV15+AV14</f>
        <v>2032918.125</v>
      </c>
      <c r="AW16" s="91">
        <f t="shared" si="8"/>
        <v>5535000</v>
      </c>
      <c r="AY16" s="4"/>
      <c r="AZ16" s="175"/>
      <c r="BA16" s="10"/>
      <c r="BB16" s="248"/>
      <c r="BC16" s="173"/>
      <c r="BD16" s="182">
        <f t="shared" ref="BD16:BI16" si="9">BD13+BD15+BD14</f>
        <v>16937500</v>
      </c>
      <c r="BE16" s="91">
        <f t="shared" si="9"/>
        <v>11100000</v>
      </c>
      <c r="BF16" s="91">
        <f t="shared" si="9"/>
        <v>0</v>
      </c>
      <c r="BG16" s="91">
        <f t="shared" si="9"/>
        <v>0</v>
      </c>
      <c r="BH16" s="91">
        <f>BH13+BH15+BH14</f>
        <v>0</v>
      </c>
      <c r="BI16" s="91">
        <f t="shared" si="9"/>
        <v>11100000</v>
      </c>
      <c r="BJ16" s="4"/>
      <c r="BK16" s="4"/>
    </row>
    <row r="17" spans="1:63" x14ac:dyDescent="0.25">
      <c r="A17" s="19"/>
      <c r="B17" s="19"/>
      <c r="C17" s="175"/>
      <c r="D17" s="10"/>
      <c r="E17" s="248"/>
      <c r="F17" s="173"/>
      <c r="G17" s="91"/>
      <c r="H17" s="91"/>
      <c r="I17" s="91"/>
      <c r="J17" s="91"/>
      <c r="K17" s="91"/>
      <c r="L17" s="17">
        <f>(L14+L15)/'Eingabe Eckdaten'!H21</f>
        <v>9.48</v>
      </c>
      <c r="O17" s="183"/>
      <c r="P17" s="77"/>
      <c r="Q17" s="253"/>
      <c r="R17" s="8"/>
      <c r="S17" s="180"/>
      <c r="T17" s="8"/>
      <c r="U17" s="8"/>
      <c r="V17" s="91"/>
      <c r="X17" s="17">
        <f>(X14+X15)/'Eingabe Eckdaten'!H42</f>
        <v>17.100000000000001</v>
      </c>
      <c r="AA17" s="133"/>
      <c r="AB17" s="10"/>
      <c r="AC17" s="248"/>
      <c r="AD17" s="4"/>
      <c r="AE17" s="91"/>
      <c r="AH17" s="222"/>
      <c r="AI17" s="4"/>
      <c r="AJ17" s="754">
        <f>(AJ14+AJ15)/'Eingabe Eckdaten'!H63</f>
        <v>34.4</v>
      </c>
      <c r="AK17" s="4"/>
      <c r="AL17" s="4"/>
      <c r="AM17" s="4"/>
      <c r="AN17" s="183"/>
      <c r="AO17" s="77"/>
      <c r="AP17" s="253"/>
      <c r="AQ17" s="8"/>
      <c r="AR17" s="180"/>
      <c r="AS17" s="8"/>
      <c r="AT17" s="8"/>
      <c r="AU17" s="91"/>
      <c r="AW17" s="17">
        <f>(AW14+AW15)/'Eingabe Eckdaten'!H42</f>
        <v>14.76</v>
      </c>
      <c r="AY17" s="4"/>
      <c r="AZ17" s="133"/>
      <c r="BA17" s="10"/>
      <c r="BB17" s="248"/>
      <c r="BC17" s="4"/>
      <c r="BD17" s="91">
        <f>BD14/'Eingabe Eckdaten'!H63</f>
        <v>5.333333333333333</v>
      </c>
      <c r="BG17" s="222"/>
      <c r="BH17" s="4"/>
      <c r="BI17" s="754">
        <f>(BI14+BI15)/'Eingabe Eckdaten'!H63</f>
        <v>29.6</v>
      </c>
      <c r="BJ17" s="4"/>
      <c r="BK17" s="4"/>
    </row>
    <row r="18" spans="1:63" x14ac:dyDescent="0.25">
      <c r="A18" s="1024" t="s">
        <v>809</v>
      </c>
      <c r="B18" s="1025"/>
      <c r="C18" s="595"/>
      <c r="D18" s="249"/>
      <c r="E18" s="54"/>
      <c r="F18" s="1008">
        <v>0</v>
      </c>
      <c r="G18" s="3"/>
      <c r="H18" s="174"/>
      <c r="I18" s="174"/>
      <c r="J18" s="174"/>
      <c r="K18" s="174"/>
      <c r="L18" s="275"/>
      <c r="O18" s="127"/>
      <c r="P18" s="11"/>
      <c r="Q18" s="10"/>
      <c r="R18" s="1008">
        <f>'Eingabe Annahmen'!F30*'Eingabe Eckdaten'!L42*365/1000</f>
        <v>928012.5</v>
      </c>
      <c r="S18" s="3" t="s">
        <v>508</v>
      </c>
      <c r="T18" s="4"/>
      <c r="U18" s="4"/>
      <c r="V18" s="3"/>
      <c r="W18" s="3"/>
      <c r="X18" s="3"/>
      <c r="AA18" s="196"/>
      <c r="AB18" s="54"/>
      <c r="AC18" s="174" t="s">
        <v>160</v>
      </c>
      <c r="AD18" s="1008">
        <v>0</v>
      </c>
      <c r="AE18" s="174"/>
      <c r="AF18" s="3"/>
      <c r="AG18" s="3"/>
      <c r="AH18" s="56"/>
      <c r="AI18" s="3"/>
      <c r="AJ18" s="4"/>
      <c r="AK18" s="4"/>
      <c r="AL18" s="4"/>
      <c r="AM18" s="4"/>
      <c r="AN18" s="127"/>
      <c r="AO18" s="11"/>
      <c r="AP18" s="10"/>
      <c r="AQ18" s="1008">
        <f>'Eingabe Annahmen'!F30*'Interne Berechunung'!AX185*365/1000</f>
        <v>1288906.25</v>
      </c>
      <c r="AR18" s="3" t="s">
        <v>508</v>
      </c>
      <c r="AS18" s="4"/>
      <c r="AT18" s="4"/>
      <c r="AU18" s="3"/>
      <c r="AV18" s="3"/>
      <c r="AW18" s="3"/>
      <c r="AY18" s="4"/>
      <c r="AZ18" s="196"/>
      <c r="BA18" s="54"/>
      <c r="BB18" s="174" t="s">
        <v>160</v>
      </c>
      <c r="BC18" s="1008">
        <v>0</v>
      </c>
      <c r="BD18" s="174"/>
      <c r="BE18" s="3"/>
      <c r="BF18" s="3"/>
      <c r="BG18" s="56"/>
      <c r="BH18" s="3"/>
      <c r="BI18" s="4"/>
      <c r="BJ18" s="4"/>
      <c r="BK18" s="4"/>
    </row>
    <row r="19" spans="1:63" x14ac:dyDescent="0.25">
      <c r="A19" s="1014"/>
      <c r="B19" s="1015"/>
      <c r="C19" s="176"/>
      <c r="D19" s="11"/>
      <c r="E19" s="10"/>
      <c r="F19" s="1009"/>
      <c r="G19" s="4"/>
      <c r="H19" s="91"/>
      <c r="I19" s="91"/>
      <c r="J19" s="91"/>
      <c r="K19" s="91"/>
      <c r="L19" s="276"/>
      <c r="O19" s="176"/>
      <c r="P19" s="11"/>
      <c r="Q19" s="10"/>
      <c r="R19" s="1009"/>
      <c r="S19" s="4" t="s">
        <v>631</v>
      </c>
      <c r="T19" s="4"/>
      <c r="U19" s="4"/>
      <c r="V19" s="4"/>
      <c r="W19" s="4"/>
      <c r="X19" s="4"/>
      <c r="AA19" s="133"/>
      <c r="AB19" s="10"/>
      <c r="AC19" s="91">
        <f>AC13*0.003</f>
        <v>18112.5</v>
      </c>
      <c r="AD19" s="1009"/>
      <c r="AE19" s="91"/>
      <c r="AF19" s="203"/>
      <c r="AG19" s="1002" t="s">
        <v>203</v>
      </c>
      <c r="AH19" s="1002"/>
      <c r="AI19" s="1002"/>
      <c r="AJ19" s="1002"/>
      <c r="AK19" s="4"/>
      <c r="AL19" s="4"/>
      <c r="AM19" s="4"/>
      <c r="AN19" s="176"/>
      <c r="AO19" s="11"/>
      <c r="AP19" s="10"/>
      <c r="AQ19" s="1009"/>
      <c r="AR19" s="4" t="s">
        <v>631</v>
      </c>
      <c r="AS19" s="4"/>
      <c r="AT19" s="4"/>
      <c r="AU19" s="4"/>
      <c r="AV19" s="4"/>
      <c r="AW19" s="4"/>
      <c r="AY19" s="4"/>
      <c r="AZ19" s="133"/>
      <c r="BA19" s="10"/>
      <c r="BB19" s="91">
        <f>BB13*0.003</f>
        <v>25875</v>
      </c>
      <c r="BC19" s="1009"/>
      <c r="BD19" s="91"/>
      <c r="BE19" s="203"/>
      <c r="BF19" s="1002" t="s">
        <v>203</v>
      </c>
      <c r="BG19" s="1002"/>
      <c r="BH19" s="1002"/>
      <c r="BI19" s="1002"/>
      <c r="BJ19" s="4"/>
      <c r="BK19" s="4"/>
    </row>
    <row r="20" spans="1:63" x14ac:dyDescent="0.25">
      <c r="A20" s="1014" t="s">
        <v>283</v>
      </c>
      <c r="B20" s="1015"/>
      <c r="C20" s="158" t="s">
        <v>406</v>
      </c>
      <c r="D20" s="172" t="s">
        <v>407</v>
      </c>
      <c r="E20" s="172" t="s">
        <v>408</v>
      </c>
      <c r="F20" s="1009">
        <v>0</v>
      </c>
      <c r="G20" s="4"/>
      <c r="H20" s="4"/>
      <c r="I20" s="4"/>
      <c r="J20" s="4"/>
      <c r="K20" s="4"/>
      <c r="L20" s="276"/>
      <c r="O20" s="158" t="s">
        <v>406</v>
      </c>
      <c r="P20" s="172" t="s">
        <v>407</v>
      </c>
      <c r="Q20" s="172" t="s">
        <v>408</v>
      </c>
      <c r="R20" s="1009">
        <v>0</v>
      </c>
      <c r="S20" s="4"/>
      <c r="T20" s="4"/>
      <c r="U20" s="4"/>
      <c r="V20" s="201"/>
      <c r="W20" s="4"/>
      <c r="X20" s="4"/>
      <c r="AA20" s="158" t="s">
        <v>406</v>
      </c>
      <c r="AB20" s="172" t="s">
        <v>407</v>
      </c>
      <c r="AC20" s="172" t="s">
        <v>408</v>
      </c>
      <c r="AD20" s="1009">
        <f>SUM(AA21:AC21)</f>
        <v>1823017.5</v>
      </c>
      <c r="AE20" s="126"/>
      <c r="AG20" s="5" t="s">
        <v>490</v>
      </c>
      <c r="AH20" s="5" t="s">
        <v>374</v>
      </c>
      <c r="AI20" s="5" t="s">
        <v>464</v>
      </c>
      <c r="AJ20" s="11" t="s">
        <v>840</v>
      </c>
      <c r="AM20" s="4"/>
      <c r="AN20" s="158" t="s">
        <v>406</v>
      </c>
      <c r="AO20" s="172" t="s">
        <v>407</v>
      </c>
      <c r="AP20" s="172" t="s">
        <v>408</v>
      </c>
      <c r="AQ20" s="1009">
        <v>0</v>
      </c>
      <c r="AR20" s="4"/>
      <c r="AS20" s="4"/>
      <c r="AT20" s="4"/>
      <c r="AU20" s="19"/>
      <c r="AV20" s="4"/>
      <c r="AW20" s="4"/>
      <c r="AY20" s="4"/>
      <c r="AZ20" s="158" t="s">
        <v>406</v>
      </c>
      <c r="BA20" s="172" t="s">
        <v>407</v>
      </c>
      <c r="BB20" s="172" t="s">
        <v>408</v>
      </c>
      <c r="BC20" s="1009">
        <f>SUM(AZ21:BB21)</f>
        <v>2594468.75</v>
      </c>
      <c r="BD20" s="4"/>
      <c r="BF20" s="5" t="s">
        <v>490</v>
      </c>
      <c r="BG20" s="5" t="s">
        <v>374</v>
      </c>
      <c r="BH20" s="5" t="s">
        <v>464</v>
      </c>
      <c r="BI20" s="11" t="s">
        <v>840</v>
      </c>
    </row>
    <row r="21" spans="1:63" x14ac:dyDescent="0.25">
      <c r="A21" s="1014"/>
      <c r="B21" s="1015"/>
      <c r="C21" s="131">
        <f>F10</f>
        <v>7875000</v>
      </c>
      <c r="D21" s="91">
        <f>'Eingabe Eckdaten'!L21*'Eingabe Annahmen'!G28/1000*365</f>
        <v>312531.25000000006</v>
      </c>
      <c r="E21" s="91">
        <f>'Eingabe Eckdaten'!L21*'Eingabe Annahmen'!G27/1000*365</f>
        <v>31937.500000000004</v>
      </c>
      <c r="F21" s="1009"/>
      <c r="G21" s="4"/>
      <c r="H21" s="4"/>
      <c r="I21" s="4"/>
      <c r="J21" s="126"/>
      <c r="K21" s="4"/>
      <c r="L21" s="276"/>
      <c r="O21" s="131">
        <f>R10</f>
        <v>5100000</v>
      </c>
      <c r="P21" s="91">
        <f>'Eingabe Eckdaten'!L42*'Eingabe Annahmen'!$G$28/1000*365</f>
        <v>225022.5</v>
      </c>
      <c r="Q21" s="91">
        <f>'Eingabe Eckdaten'!L42*'Eingabe Annahmen'!$G$27/1000*365</f>
        <v>22995.000000000004</v>
      </c>
      <c r="R21" s="1009"/>
      <c r="S21" s="4"/>
      <c r="T21" s="4"/>
      <c r="U21" s="4"/>
      <c r="V21" s="19"/>
      <c r="W21" s="4"/>
      <c r="X21" s="4"/>
      <c r="AA21" s="131">
        <f>AD10</f>
        <v>1575000</v>
      </c>
      <c r="AB21" s="91">
        <f>'Eingabe Eckdaten'!L63*'Eingabe Annahmen'!$G$28/1000*365</f>
        <v>225022.5</v>
      </c>
      <c r="AC21" s="91">
        <f>'Eingabe Eckdaten'!L63*'Eingabe Annahmen'!$G$27/1000*365</f>
        <v>22995.000000000004</v>
      </c>
      <c r="AD21" s="1009"/>
      <c r="AE21" s="4"/>
      <c r="AG21" s="126">
        <f>AD20</f>
        <v>1823017.5</v>
      </c>
      <c r="AH21" s="126">
        <v>613954</v>
      </c>
      <c r="AI21" s="126" t="e">
        <f>AI23*AI22</f>
        <v>#REF!</v>
      </c>
      <c r="AJ21" s="5" t="s">
        <v>201</v>
      </c>
      <c r="AK21" s="4"/>
      <c r="AL21" s="4"/>
      <c r="AM21" s="4"/>
      <c r="AN21" s="131">
        <f>AQ10</f>
        <v>7125000</v>
      </c>
      <c r="AO21" s="91">
        <f>'Interne Berechunung'!AX185*'Eingabe Annahmen'!$G$28/1000*365</f>
        <v>312531.25000000006</v>
      </c>
      <c r="AP21" s="91">
        <f>'Interne Berechunung'!AX185*'Eingabe Annahmen'!$G$27/1000*365</f>
        <v>31937.500000000004</v>
      </c>
      <c r="AQ21" s="1009"/>
      <c r="AR21" s="4"/>
      <c r="AS21" s="4"/>
      <c r="AT21" s="4"/>
      <c r="AU21" s="19"/>
      <c r="AV21" s="4"/>
      <c r="AW21" s="4"/>
      <c r="AY21" s="4"/>
      <c r="AZ21" s="131">
        <f>BC10</f>
        <v>2250000</v>
      </c>
      <c r="BA21" s="91">
        <f>'Interne Berechunung'!BJ185*'Eingabe Annahmen'!$G$28/1000*365</f>
        <v>312531.25000000006</v>
      </c>
      <c r="BB21" s="91">
        <f>'Interne Berechunung'!BJ185*'Eingabe Annahmen'!$G$27/1000*365</f>
        <v>31937.500000000004</v>
      </c>
      <c r="BC21" s="1009"/>
      <c r="BD21" s="4"/>
      <c r="BF21" s="126">
        <f>BC20</f>
        <v>2594468.75</v>
      </c>
      <c r="BG21" s="126">
        <v>613954</v>
      </c>
      <c r="BH21" s="126" t="e">
        <f>BH23*BH22</f>
        <v>#REF!</v>
      </c>
      <c r="BI21" s="5" t="s">
        <v>201</v>
      </c>
      <c r="BJ21" s="4"/>
      <c r="BK21" s="4"/>
    </row>
    <row r="22" spans="1:63" x14ac:dyDescent="0.25">
      <c r="A22" s="1018" t="s">
        <v>87</v>
      </c>
      <c r="B22" s="999"/>
      <c r="D22" s="10"/>
      <c r="E22" s="10"/>
      <c r="F22" s="262" t="s">
        <v>810</v>
      </c>
      <c r="G22" s="4"/>
      <c r="H22" s="4"/>
      <c r="I22" s="4"/>
      <c r="J22" s="4"/>
      <c r="K22" s="4"/>
      <c r="L22" s="276"/>
      <c r="P22" s="10"/>
      <c r="Q22" s="10"/>
      <c r="R22" s="19" t="s">
        <v>810</v>
      </c>
      <c r="S22" s="4"/>
      <c r="T22" s="4"/>
      <c r="U22" s="4"/>
      <c r="V22" s="201"/>
      <c r="W22" s="4"/>
      <c r="X22" s="4"/>
      <c r="AA22" s="38"/>
      <c r="AB22" s="10"/>
      <c r="AC22" s="129"/>
      <c r="AD22" s="201">
        <f>AE16-AC13+AD20</f>
        <v>8585517.5</v>
      </c>
      <c r="AG22" s="5">
        <v>450000</v>
      </c>
      <c r="AH22" s="5">
        <v>350000</v>
      </c>
      <c r="AI22" s="4">
        <v>450000</v>
      </c>
      <c r="AJ22" s="5" t="s">
        <v>727</v>
      </c>
      <c r="AM22" s="4"/>
      <c r="AO22" s="10"/>
      <c r="AP22" s="10"/>
      <c r="AQ22" s="19" t="s">
        <v>810</v>
      </c>
      <c r="AR22" s="4"/>
      <c r="AS22" s="4"/>
      <c r="AT22" s="4"/>
      <c r="AU22" s="201"/>
      <c r="AV22" s="4"/>
      <c r="AW22" s="4"/>
      <c r="AY22" s="4"/>
      <c r="AZ22" s="38"/>
      <c r="BA22" s="10"/>
      <c r="BB22" s="129"/>
      <c r="BC22" s="201">
        <f>BD16-BB13+BC20</f>
        <v>10906968.75</v>
      </c>
      <c r="BF22" s="257">
        <f>'Interne Berechunung'!BJ185</f>
        <v>625000</v>
      </c>
      <c r="BG22" s="5">
        <v>350000</v>
      </c>
      <c r="BH22" s="126">
        <f>'Interne Berechunung'!BJ185</f>
        <v>625000</v>
      </c>
      <c r="BI22" s="5" t="s">
        <v>727</v>
      </c>
    </row>
    <row r="23" spans="1:63" x14ac:dyDescent="0.25">
      <c r="A23" s="1016" t="s">
        <v>276</v>
      </c>
      <c r="B23" s="1002"/>
      <c r="C23" s="7"/>
      <c r="D23" s="267"/>
      <c r="E23" s="250"/>
      <c r="F23" s="57">
        <f>'Eingabe Annahmen'!E29*365*'Eingabe Eckdaten'!L21</f>
        <v>4562500</v>
      </c>
      <c r="G23" s="8"/>
      <c r="H23" s="8"/>
      <c r="I23" s="8"/>
      <c r="J23" s="8"/>
      <c r="K23" s="8"/>
      <c r="L23" s="277"/>
      <c r="O23" s="7"/>
      <c r="P23" s="125"/>
      <c r="Q23" s="250"/>
      <c r="R23" s="57">
        <f>'Eingabe Annahmen'!F29*365*'Eingabe Eckdaten'!L42</f>
        <v>3285000</v>
      </c>
      <c r="S23" s="8"/>
      <c r="T23" s="8"/>
      <c r="U23" s="8"/>
      <c r="V23" s="8"/>
      <c r="W23" s="8"/>
      <c r="X23" s="8"/>
      <c r="AA23" s="7"/>
      <c r="AB23" s="125"/>
      <c r="AC23" s="250"/>
      <c r="AD23" s="57">
        <f>'Eingabe Annahmen'!G29*365*'Eingabe Eckdaten'!L63</f>
        <v>3285000</v>
      </c>
      <c r="AE23" s="18"/>
      <c r="AF23" s="8"/>
      <c r="AG23" s="198">
        <f>AG21/AG22</f>
        <v>4.0511499999999998</v>
      </c>
      <c r="AH23" s="198">
        <f>AH21/AH22</f>
        <v>1.7541542857142858</v>
      </c>
      <c r="AI23" s="199" t="e">
        <f>'Eingabe Annahmen'!#REF!/1000*365+0.006*365</f>
        <v>#REF!</v>
      </c>
      <c r="AJ23" s="200" t="s">
        <v>200</v>
      </c>
      <c r="AN23" s="7"/>
      <c r="AO23" s="125"/>
      <c r="AP23" s="250"/>
      <c r="AQ23" s="57">
        <f>'Eingabe Annahmen'!F29*365*'Interne Berechunung'!AX185</f>
        <v>4562500</v>
      </c>
      <c r="AR23" s="8"/>
      <c r="AS23" s="8"/>
      <c r="AT23" s="8"/>
      <c r="AU23" s="8"/>
      <c r="AV23" s="8"/>
      <c r="AW23" s="8"/>
      <c r="AY23" s="4"/>
      <c r="AZ23" s="258"/>
      <c r="BA23" s="125"/>
      <c r="BB23" s="250"/>
      <c r="BC23" s="57">
        <f>'Eingabe Annahmen'!G29*365*'Interne Berechunung'!BJ185</f>
        <v>4562500</v>
      </c>
      <c r="BD23" s="18"/>
      <c r="BE23" s="8"/>
      <c r="BF23" s="198">
        <f>BF21/BF22</f>
        <v>4.1511500000000003</v>
      </c>
      <c r="BG23" s="198">
        <f>BG21/BG22</f>
        <v>1.7541542857142858</v>
      </c>
      <c r="BH23" s="199" t="e">
        <f>'Eingabe Annahmen'!#REF!/1000*365+0.006*365</f>
        <v>#REF!</v>
      </c>
      <c r="BI23" s="200" t="s">
        <v>200</v>
      </c>
    </row>
    <row r="24" spans="1:63" x14ac:dyDescent="0.25">
      <c r="D24" s="16"/>
      <c r="E24" s="16"/>
      <c r="I24" s="4"/>
      <c r="P24" s="16"/>
      <c r="Q24" s="16"/>
      <c r="AB24" s="16"/>
      <c r="AC24" s="16"/>
      <c r="AD24" s="17"/>
      <c r="AE24" s="19"/>
      <c r="AJ24" s="4"/>
      <c r="AM24" s="4"/>
      <c r="AO24" s="16"/>
      <c r="AP24" s="16"/>
      <c r="AY24" s="4"/>
      <c r="BA24" s="16"/>
      <c r="BB24" s="16"/>
      <c r="BC24" s="17"/>
      <c r="BD24" s="19"/>
      <c r="BI24" s="4"/>
    </row>
    <row r="25" spans="1:63" x14ac:dyDescent="0.25">
      <c r="A25" s="1012" t="s">
        <v>199</v>
      </c>
      <c r="B25" s="1013"/>
      <c r="C25" s="590"/>
      <c r="D25" s="251">
        <f>D13/F15</f>
        <v>0.24725274725274726</v>
      </c>
      <c r="E25" s="252">
        <f>E13</f>
        <v>0</v>
      </c>
      <c r="F25" s="265"/>
      <c r="G25" s="265"/>
      <c r="H25" s="265"/>
      <c r="I25" s="265"/>
      <c r="J25" s="265"/>
      <c r="K25" s="265"/>
      <c r="L25" s="266"/>
      <c r="M25" s="17"/>
      <c r="N25" s="17"/>
      <c r="O25" s="226"/>
      <c r="P25" s="251">
        <f>P13/R15</f>
        <v>0.375</v>
      </c>
      <c r="Q25" s="252">
        <f>Q13</f>
        <v>0</v>
      </c>
      <c r="R25" s="55"/>
      <c r="S25" s="55"/>
      <c r="T25" s="55"/>
      <c r="U25" s="55"/>
      <c r="V25" s="55"/>
      <c r="W25" s="55"/>
      <c r="X25" s="55"/>
      <c r="Y25" s="17"/>
      <c r="Z25" s="17"/>
      <c r="AA25" s="226"/>
      <c r="AB25" s="251">
        <f>AB13/AD15</f>
        <v>0.46153846153846156</v>
      </c>
      <c r="AC25" s="251">
        <f>AC13/AE13</f>
        <v>0.55902777777777779</v>
      </c>
      <c r="AD25" s="55"/>
      <c r="AE25" s="55"/>
      <c r="AF25" s="55"/>
      <c r="AG25" s="55"/>
      <c r="AH25" s="55"/>
      <c r="AI25" s="55"/>
      <c r="AJ25" s="55"/>
      <c r="AK25" s="17"/>
      <c r="AL25" s="17"/>
      <c r="AM25" s="19"/>
      <c r="AN25" s="226"/>
      <c r="AO25" s="251">
        <f>AO13/AQ15</f>
        <v>0.5357142857142857</v>
      </c>
      <c r="AP25" s="254">
        <v>0</v>
      </c>
      <c r="AQ25" s="55"/>
      <c r="AR25" s="55"/>
      <c r="AS25" s="55"/>
      <c r="AT25" s="55"/>
      <c r="AU25" s="55"/>
      <c r="AV25" s="55"/>
      <c r="AW25" s="55"/>
      <c r="AX25" s="17"/>
      <c r="AY25" s="19"/>
      <c r="AZ25" s="226"/>
      <c r="BA25" s="251">
        <f>BA13/BC15</f>
        <v>0.65934065934065933</v>
      </c>
      <c r="BB25" s="251">
        <f>BB13/BD13</f>
        <v>0.57740585774058573</v>
      </c>
      <c r="BC25" s="79"/>
      <c r="BD25" s="79"/>
      <c r="BE25" s="79"/>
      <c r="BF25" s="79"/>
      <c r="BG25" s="79"/>
      <c r="BH25" s="79"/>
      <c r="BI25" s="79"/>
    </row>
    <row r="26" spans="1:63" x14ac:dyDescent="0.25">
      <c r="H26" s="4"/>
      <c r="I26" s="4"/>
      <c r="P26" s="16"/>
      <c r="Q26" s="16"/>
      <c r="AD26" s="4"/>
      <c r="AE26" s="4"/>
      <c r="AF26" s="4"/>
      <c r="AG26" s="4"/>
      <c r="AM26" s="4"/>
      <c r="AY26" s="4"/>
      <c r="BA26" s="16"/>
      <c r="BB26" s="16"/>
      <c r="BC26" s="4"/>
      <c r="BD26" s="4"/>
      <c r="BE26" s="4"/>
      <c r="BF26" s="4"/>
    </row>
    <row r="27" spans="1:63" x14ac:dyDescent="0.25">
      <c r="A27" s="4"/>
      <c r="B27" s="73"/>
      <c r="J27" s="34"/>
      <c r="O27" s="134"/>
      <c r="AA27" s="134"/>
      <c r="AI27" s="49"/>
      <c r="AJ27" s="49"/>
      <c r="AM27" s="4"/>
      <c r="AN27" s="134"/>
      <c r="AY27" s="4"/>
      <c r="AZ27" s="134"/>
      <c r="BH27" s="49"/>
      <c r="BI27" s="49"/>
    </row>
    <row r="28" spans="1:63" s="13" customFormat="1" x14ac:dyDescent="0.25">
      <c r="A28" s="42" t="s">
        <v>554</v>
      </c>
      <c r="B28" s="12"/>
      <c r="C28" s="124" t="s">
        <v>158</v>
      </c>
      <c r="O28" s="124" t="s">
        <v>52</v>
      </c>
      <c r="AA28" s="157" t="s">
        <v>53</v>
      </c>
      <c r="AM28" s="12"/>
      <c r="AN28" s="157" t="s">
        <v>54</v>
      </c>
      <c r="AY28" s="12"/>
      <c r="AZ28" s="157" t="s">
        <v>45</v>
      </c>
    </row>
    <row r="29" spans="1:63" s="16" customFormat="1" x14ac:dyDescent="0.25">
      <c r="A29" s="10"/>
      <c r="B29" s="10"/>
      <c r="C29" s="135"/>
      <c r="O29" s="135"/>
      <c r="AA29" s="130"/>
      <c r="AM29" s="10"/>
      <c r="AN29" s="135"/>
      <c r="AY29" s="10"/>
      <c r="AZ29" s="130"/>
    </row>
    <row r="30" spans="1:63" s="16" customFormat="1" x14ac:dyDescent="0.25">
      <c r="A30" s="1019" t="s">
        <v>422</v>
      </c>
      <c r="B30" s="1019"/>
      <c r="C30" s="130"/>
      <c r="O30" s="130"/>
      <c r="AA30" s="160"/>
      <c r="AB30" s="77"/>
      <c r="AC30" s="77"/>
      <c r="AD30" s="77"/>
      <c r="AE30" s="77"/>
      <c r="AF30" s="77"/>
      <c r="AG30" s="77"/>
      <c r="AH30" s="77"/>
      <c r="AM30" s="10"/>
      <c r="AN30" s="130"/>
      <c r="AY30" s="10"/>
      <c r="AZ30" s="160"/>
      <c r="BA30" s="77"/>
      <c r="BB30" s="77"/>
      <c r="BC30" s="77"/>
      <c r="BD30" s="77"/>
      <c r="BE30" s="77"/>
      <c r="BF30" s="77"/>
      <c r="BG30" s="77"/>
    </row>
    <row r="31" spans="1:63" s="16" customFormat="1" x14ac:dyDescent="0.25">
      <c r="A31" s="1020" t="s">
        <v>423</v>
      </c>
      <c r="B31" s="1020"/>
      <c r="C31" s="284">
        <f>'Eingabe Annahmen'!E12*'Eingabe Eckdaten'!L21</f>
        <v>-20000000</v>
      </c>
      <c r="D31" s="74" t="s">
        <v>431</v>
      </c>
      <c r="E31" s="54"/>
      <c r="F31" s="62"/>
      <c r="G31" s="61"/>
      <c r="H31" s="62"/>
      <c r="I31" s="62"/>
      <c r="J31" s="54"/>
      <c r="O31" s="285">
        <f>'Eingabe Annahmen'!F12*'Eingabe Eckdaten'!L42</f>
        <v>-13500000</v>
      </c>
      <c r="P31" s="61" t="s">
        <v>431</v>
      </c>
      <c r="Q31" s="61"/>
      <c r="R31" s="54"/>
      <c r="S31" s="54"/>
      <c r="T31" s="54"/>
      <c r="U31" s="54"/>
      <c r="V31" s="54"/>
      <c r="W31" s="54"/>
      <c r="X31" s="54"/>
      <c r="AA31" s="154" t="s">
        <v>404</v>
      </c>
      <c r="AB31" s="117"/>
      <c r="AC31" s="117"/>
      <c r="AD31" s="117"/>
      <c r="AE31" s="117"/>
      <c r="AF31" s="117"/>
      <c r="AG31" s="117"/>
      <c r="AH31" s="117"/>
      <c r="AI31" s="114"/>
      <c r="AJ31" s="114"/>
      <c r="AK31" s="114"/>
      <c r="AL31" s="114"/>
      <c r="AM31" s="10"/>
      <c r="AN31" s="136">
        <f>'Eingabe Annahmen'!F12*'Interne Berechunung'!AX185</f>
        <v>-18750000</v>
      </c>
      <c r="AO31" s="61" t="s">
        <v>431</v>
      </c>
      <c r="AP31" s="61"/>
      <c r="AQ31" s="54"/>
      <c r="AR31" s="54"/>
      <c r="AS31" s="54"/>
      <c r="AT31" s="54"/>
      <c r="AU31" s="54"/>
      <c r="AV31" s="54"/>
      <c r="AW31" s="54"/>
      <c r="AY31" s="117"/>
      <c r="AZ31" s="154" t="s">
        <v>404</v>
      </c>
      <c r="BA31" s="117"/>
      <c r="BB31" s="117"/>
      <c r="BC31" s="117"/>
      <c r="BD31" s="117"/>
      <c r="BE31" s="117"/>
      <c r="BF31" s="117"/>
      <c r="BG31" s="117"/>
      <c r="BH31" s="114"/>
      <c r="BI31" s="114"/>
      <c r="BJ31" s="114"/>
      <c r="BK31" s="114"/>
    </row>
    <row r="32" spans="1:63" s="16" customFormat="1" x14ac:dyDescent="0.25">
      <c r="A32" s="1017" t="s">
        <v>557</v>
      </c>
      <c r="B32" s="1017"/>
      <c r="C32" s="202">
        <f>C31/J16</f>
        <v>-0.65176020471136265</v>
      </c>
      <c r="D32" s="76" t="s">
        <v>476</v>
      </c>
      <c r="E32" s="58"/>
      <c r="F32" s="67"/>
      <c r="G32" s="66"/>
      <c r="H32" s="67"/>
      <c r="I32" s="67"/>
      <c r="J32" s="77"/>
      <c r="O32" s="184">
        <f>O31/V16</f>
        <v>-0.61867330783896735</v>
      </c>
      <c r="P32" s="66" t="s">
        <v>476</v>
      </c>
      <c r="Q32" s="77"/>
      <c r="R32" s="72"/>
      <c r="S32" s="77"/>
      <c r="T32" s="77"/>
      <c r="U32" s="77"/>
      <c r="V32" s="77"/>
      <c r="W32" s="77"/>
      <c r="X32" s="77"/>
      <c r="AA32" s="156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0"/>
      <c r="AN32" s="184">
        <f>AN31/AU16</f>
        <v>-0.71254708243915599</v>
      </c>
      <c r="AO32" s="66" t="s">
        <v>476</v>
      </c>
      <c r="AP32" s="77"/>
      <c r="AQ32" s="72"/>
      <c r="AR32" s="77"/>
      <c r="AS32" s="77"/>
      <c r="AT32" s="77"/>
      <c r="AU32" s="77"/>
      <c r="AV32" s="77"/>
      <c r="AW32" s="77"/>
      <c r="AY32" s="117"/>
      <c r="AZ32" s="156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</row>
    <row r="33" spans="1:63" s="16" customFormat="1" x14ac:dyDescent="0.25">
      <c r="A33" s="63"/>
      <c r="B33" s="64"/>
      <c r="C33" s="167"/>
      <c r="D33" s="75"/>
      <c r="E33" s="68"/>
      <c r="F33" s="37"/>
      <c r="G33" s="65"/>
      <c r="H33" s="37"/>
      <c r="I33" s="37"/>
      <c r="J33" s="10"/>
      <c r="O33" s="146"/>
      <c r="P33" s="65"/>
      <c r="Q33" s="10"/>
      <c r="R33" s="70"/>
      <c r="S33" s="10"/>
      <c r="T33" s="10"/>
      <c r="U33" s="10"/>
      <c r="V33" s="10"/>
      <c r="W33" s="10"/>
      <c r="AA33" s="130"/>
      <c r="AM33" s="10"/>
      <c r="AN33" s="146"/>
      <c r="AO33" s="65"/>
      <c r="AP33" s="10"/>
      <c r="AQ33" s="70"/>
      <c r="AR33" s="10"/>
      <c r="AS33" s="10"/>
      <c r="AT33" s="10"/>
      <c r="AU33" s="10"/>
      <c r="AV33" s="10"/>
      <c r="AY33" s="10"/>
      <c r="AZ33" s="130"/>
    </row>
    <row r="34" spans="1:63" s="16" customFormat="1" x14ac:dyDescent="0.25">
      <c r="A34" s="1019" t="s">
        <v>422</v>
      </c>
      <c r="B34" s="1019"/>
      <c r="C34" s="160"/>
      <c r="D34" s="77"/>
      <c r="E34" s="77"/>
      <c r="F34" s="77"/>
      <c r="G34" s="77"/>
      <c r="H34" s="77"/>
      <c r="I34" s="77"/>
      <c r="J34" s="77"/>
      <c r="O34" s="130"/>
      <c r="R34" s="31"/>
      <c r="AA34" s="130"/>
      <c r="AM34" s="10"/>
      <c r="AN34" s="130"/>
      <c r="AQ34" s="31"/>
      <c r="AY34" s="10"/>
      <c r="AZ34" s="130"/>
    </row>
    <row r="35" spans="1:63" s="16" customFormat="1" x14ac:dyDescent="0.25">
      <c r="A35" s="1017" t="s">
        <v>161</v>
      </c>
      <c r="B35" s="1017"/>
      <c r="C35" s="184">
        <f>F23*'Eingabe Annahmen'!E23*'Eingabe Annahmen'!E24/J16</f>
        <v>0.25127392642262752</v>
      </c>
      <c r="D35" s="66" t="s">
        <v>476</v>
      </c>
      <c r="E35" s="67" t="s">
        <v>113</v>
      </c>
      <c r="F35" s="66"/>
      <c r="G35" s="66"/>
      <c r="H35" s="66"/>
      <c r="I35" s="66"/>
      <c r="J35" s="77"/>
      <c r="O35" s="138">
        <f>R23*'Eingabe Annahmen'!F23*'Eingabe Annahmen'!F24/V16</f>
        <v>0.39141397942612</v>
      </c>
      <c r="P35" s="66" t="s">
        <v>476</v>
      </c>
      <c r="Q35" s="72" t="s">
        <v>275</v>
      </c>
      <c r="R35" s="72"/>
      <c r="S35" s="77"/>
      <c r="T35" s="77"/>
      <c r="U35" s="77"/>
      <c r="V35" s="77">
        <v>-0.4</v>
      </c>
      <c r="W35" s="77" t="s">
        <v>476</v>
      </c>
      <c r="X35" s="77"/>
      <c r="AA35" s="156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0"/>
      <c r="AN35" s="138">
        <f>AQ23*'Eingabe Annahmen'!F23*'Eingabe Annahmen'!F24/AU16</f>
        <v>0.45080478748983938</v>
      </c>
      <c r="AO35" s="66" t="s">
        <v>476</v>
      </c>
      <c r="AP35" s="72" t="s">
        <v>275</v>
      </c>
      <c r="AQ35" s="72"/>
      <c r="AR35" s="77"/>
      <c r="AS35" s="77"/>
      <c r="AT35" s="77"/>
      <c r="AU35" s="77">
        <v>-0.4</v>
      </c>
      <c r="AV35" s="77" t="s">
        <v>476</v>
      </c>
      <c r="AW35" s="77"/>
      <c r="AY35" s="117"/>
      <c r="AZ35" s="156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</row>
    <row r="36" spans="1:63" s="16" customFormat="1" x14ac:dyDescent="0.25">
      <c r="A36" s="10"/>
      <c r="B36" s="10"/>
      <c r="C36" s="130"/>
      <c r="H36" s="32"/>
      <c r="I36" s="32"/>
      <c r="O36" s="140"/>
      <c r="P36" s="28"/>
      <c r="Q36" s="29"/>
      <c r="R36" s="31"/>
      <c r="AA36" s="130"/>
      <c r="AM36" s="10"/>
      <c r="AN36" s="140"/>
      <c r="AO36" s="28"/>
      <c r="AP36" s="29"/>
      <c r="AQ36" s="31"/>
      <c r="AY36" s="10"/>
      <c r="AZ36" s="130"/>
    </row>
    <row r="37" spans="1:63" x14ac:dyDescent="0.25">
      <c r="A37" s="1011" t="s">
        <v>526</v>
      </c>
      <c r="B37" s="1011"/>
      <c r="C37" s="7"/>
      <c r="D37" s="8"/>
      <c r="E37" s="8"/>
      <c r="F37" s="8"/>
      <c r="G37" s="8"/>
      <c r="H37" s="8"/>
      <c r="I37" s="8"/>
      <c r="J37" s="8"/>
      <c r="O37" s="7"/>
      <c r="P37" s="8"/>
      <c r="Q37" s="8"/>
      <c r="R37" s="8"/>
      <c r="S37" s="8"/>
      <c r="T37" s="8"/>
      <c r="U37" s="8"/>
      <c r="V37" s="8"/>
      <c r="W37" s="8"/>
      <c r="X37" s="8"/>
      <c r="AA37" s="7" t="s">
        <v>283</v>
      </c>
      <c r="AB37" s="8"/>
      <c r="AC37" s="8"/>
      <c r="AD37" s="84" t="s">
        <v>269</v>
      </c>
      <c r="AE37" s="8"/>
      <c r="AF37" s="8"/>
      <c r="AG37" s="8"/>
      <c r="AH37" s="8"/>
      <c r="AJ37" s="77"/>
      <c r="AK37" s="77"/>
      <c r="AL37" s="77"/>
      <c r="AM37" s="4"/>
      <c r="AN37" s="7"/>
      <c r="AO37" s="8"/>
      <c r="AP37" s="8"/>
      <c r="AQ37" s="8"/>
      <c r="AR37" s="8"/>
      <c r="AS37" s="8"/>
      <c r="AT37" s="8"/>
      <c r="AU37" s="8"/>
      <c r="AV37" s="8"/>
      <c r="AW37" s="8"/>
      <c r="AY37" s="4"/>
      <c r="AZ37" s="7" t="s">
        <v>283</v>
      </c>
      <c r="BA37" s="8"/>
      <c r="BB37" s="8"/>
      <c r="BC37" s="84" t="s">
        <v>269</v>
      </c>
      <c r="BD37" s="8"/>
      <c r="BE37" s="8"/>
      <c r="BF37" s="8"/>
      <c r="BG37" s="8"/>
      <c r="BI37" s="77"/>
      <c r="BJ37" s="77"/>
      <c r="BK37" s="77"/>
    </row>
    <row r="38" spans="1:63" x14ac:dyDescent="0.25">
      <c r="A38" s="1000" t="s">
        <v>285</v>
      </c>
      <c r="B38" s="1000"/>
      <c r="AB38" s="62" t="s">
        <v>838</v>
      </c>
      <c r="AC38" s="3"/>
      <c r="AD38" s="3"/>
      <c r="AE38" s="3">
        <v>5</v>
      </c>
      <c r="AF38" s="3">
        <v>15</v>
      </c>
      <c r="AG38" s="3" t="s">
        <v>345</v>
      </c>
      <c r="AH38" s="3"/>
      <c r="AI38" s="3"/>
      <c r="AJ38" s="204"/>
      <c r="AK38" s="54"/>
      <c r="AL38" s="54"/>
      <c r="AM38" s="4"/>
      <c r="AY38" s="4"/>
      <c r="AZ38" s="141"/>
      <c r="BA38" s="62"/>
      <c r="BB38" s="3"/>
      <c r="BC38" s="3"/>
      <c r="BD38" s="3">
        <v>5</v>
      </c>
      <c r="BE38" s="3">
        <v>15</v>
      </c>
      <c r="BF38" s="3" t="s">
        <v>345</v>
      </c>
      <c r="BG38" s="3"/>
      <c r="BH38" s="3"/>
      <c r="BI38" s="204"/>
      <c r="BJ38" s="54"/>
      <c r="BK38" s="54"/>
    </row>
    <row r="39" spans="1:63" x14ac:dyDescent="0.25">
      <c r="A39" s="1002" t="s">
        <v>286</v>
      </c>
      <c r="B39" s="1002"/>
      <c r="AA39" s="238">
        <f>'Eingabe Annahmen'!G16*'Eingabe Eckdaten'!L63/AD20</f>
        <v>-2.4684348888587193</v>
      </c>
      <c r="AB39" s="67" t="s">
        <v>476</v>
      </c>
      <c r="AC39" s="8"/>
      <c r="AD39" s="8"/>
      <c r="AE39" s="9" t="s">
        <v>346</v>
      </c>
      <c r="AF39" s="9" t="s">
        <v>466</v>
      </c>
      <c r="AG39" s="8"/>
      <c r="AH39" s="8"/>
      <c r="AI39" s="8"/>
      <c r="AJ39" s="8"/>
      <c r="AK39" s="8"/>
      <c r="AL39" s="8"/>
      <c r="AM39" s="4"/>
      <c r="AY39" s="4"/>
      <c r="AZ39" s="238">
        <f>'Eingabe Annahmen'!G16*'Interne Berechunung'!BJ185/BC20</f>
        <v>-2.4089710080339182</v>
      </c>
      <c r="BA39" s="67" t="s">
        <v>476</v>
      </c>
      <c r="BB39" s="8"/>
      <c r="BC39" s="8"/>
      <c r="BD39" s="9" t="s">
        <v>346</v>
      </c>
      <c r="BE39" s="121" t="s">
        <v>466</v>
      </c>
      <c r="BF39" s="8"/>
      <c r="BG39" s="8"/>
      <c r="BH39" s="8"/>
      <c r="BI39" s="8"/>
      <c r="BJ39" s="8"/>
      <c r="BK39" s="8"/>
    </row>
    <row r="40" spans="1:63" x14ac:dyDescent="0.25">
      <c r="A40" s="4"/>
      <c r="C40" s="2"/>
      <c r="D40" s="3"/>
      <c r="E40" s="3"/>
      <c r="F40" s="3"/>
      <c r="G40" s="3"/>
      <c r="H40" s="3"/>
      <c r="I40" s="3"/>
      <c r="J40" s="3"/>
      <c r="O40" s="2"/>
      <c r="P40" s="3"/>
      <c r="Q40" s="3"/>
      <c r="R40" s="3"/>
      <c r="S40" s="3"/>
      <c r="T40" s="3"/>
      <c r="U40" s="3"/>
      <c r="V40" s="3"/>
      <c r="W40" s="3"/>
      <c r="X40" s="3"/>
      <c r="AM40" s="4"/>
      <c r="AN40" s="2"/>
      <c r="AO40" s="3"/>
      <c r="AP40" s="3"/>
      <c r="AQ40" s="3"/>
      <c r="AR40" s="3"/>
      <c r="AS40" s="3"/>
      <c r="AT40" s="3"/>
      <c r="AU40" s="3"/>
      <c r="AV40" s="3"/>
      <c r="AW40" s="3"/>
      <c r="AY40" s="4"/>
    </row>
    <row r="41" spans="1:63" x14ac:dyDescent="0.25">
      <c r="A41" s="999" t="s">
        <v>198</v>
      </c>
      <c r="B41" s="999"/>
      <c r="AA41" s="147" t="s">
        <v>283</v>
      </c>
      <c r="AB41" s="8"/>
      <c r="AC41" s="8"/>
      <c r="AD41" s="8"/>
      <c r="AE41" s="8" t="s">
        <v>533</v>
      </c>
      <c r="AF41" s="255"/>
      <c r="AG41" s="255" t="s">
        <v>584</v>
      </c>
      <c r="AH41" s="255"/>
      <c r="AI41" s="8"/>
      <c r="AJ41" s="255" t="s">
        <v>478</v>
      </c>
      <c r="AK41" s="8"/>
      <c r="AL41" s="8"/>
      <c r="AM41" s="4"/>
      <c r="AY41" s="4"/>
      <c r="AZ41" s="147" t="s">
        <v>283</v>
      </c>
      <c r="BA41" s="8"/>
      <c r="BB41" s="8"/>
      <c r="BC41" s="8"/>
      <c r="BD41" s="8" t="s">
        <v>533</v>
      </c>
      <c r="BE41" s="255"/>
      <c r="BF41" s="255" t="s">
        <v>584</v>
      </c>
      <c r="BG41" s="255"/>
      <c r="BH41" s="8"/>
      <c r="BI41" s="255" t="s">
        <v>478</v>
      </c>
      <c r="BJ41" s="8"/>
      <c r="BK41" s="8"/>
    </row>
    <row r="42" spans="1:63" x14ac:dyDescent="0.25">
      <c r="A42" s="1000" t="s">
        <v>578</v>
      </c>
      <c r="B42" s="1000"/>
      <c r="C42" s="2"/>
      <c r="D42" s="3"/>
      <c r="E42" s="3"/>
      <c r="F42" s="3"/>
      <c r="G42" s="3"/>
      <c r="H42" s="3"/>
      <c r="I42" s="3"/>
      <c r="J42" s="3"/>
      <c r="O42" s="2"/>
      <c r="P42" s="3"/>
      <c r="Q42" s="3"/>
      <c r="R42" s="3"/>
      <c r="S42" s="3"/>
      <c r="T42" s="3"/>
      <c r="U42" s="3"/>
      <c r="V42" s="3"/>
      <c r="W42" s="3"/>
      <c r="X42" s="3"/>
      <c r="AA42" s="591" t="s">
        <v>546</v>
      </c>
      <c r="AB42" s="3" t="s">
        <v>625</v>
      </c>
      <c r="AC42" s="3"/>
      <c r="AD42" s="59" t="s">
        <v>717</v>
      </c>
      <c r="AE42" s="46">
        <f>0.032/0.65</f>
        <v>4.9230769230769231E-2</v>
      </c>
      <c r="AF42" s="3" t="s">
        <v>534</v>
      </c>
      <c r="AG42" s="14">
        <f>0.122/0.044</f>
        <v>2.7727272727272729</v>
      </c>
      <c r="AH42" s="4" t="s">
        <v>177</v>
      </c>
      <c r="AI42" s="3"/>
      <c r="AJ42" s="197">
        <f>AJ44/AJ43</f>
        <v>4483.8709677419356</v>
      </c>
      <c r="AK42" s="3" t="s">
        <v>585</v>
      </c>
      <c r="AL42" s="3"/>
      <c r="AM42" s="4"/>
      <c r="AN42" s="166"/>
      <c r="AO42" s="3"/>
      <c r="AP42" s="3"/>
      <c r="AQ42" s="3"/>
      <c r="AR42" s="3"/>
      <c r="AS42" s="3"/>
      <c r="AT42" s="3"/>
      <c r="AU42" s="3"/>
      <c r="AV42" s="3"/>
      <c r="AW42" s="3"/>
      <c r="AY42" s="4"/>
      <c r="AZ42" s="591" t="s">
        <v>546</v>
      </c>
      <c r="BA42" s="3" t="s">
        <v>625</v>
      </c>
      <c r="BB42" s="3"/>
      <c r="BC42" s="59" t="s">
        <v>717</v>
      </c>
      <c r="BD42" s="46">
        <f>0.032/0.65</f>
        <v>4.9230769230769231E-2</v>
      </c>
      <c r="BE42" s="3" t="s">
        <v>534</v>
      </c>
      <c r="BF42" s="14">
        <f>0.122/0.044</f>
        <v>2.7727272727272729</v>
      </c>
      <c r="BG42" s="4" t="s">
        <v>177</v>
      </c>
      <c r="BH42" s="3"/>
      <c r="BI42" s="197">
        <f>BI44/BI43</f>
        <v>4483.8709677419356</v>
      </c>
      <c r="BJ42" s="3" t="s">
        <v>585</v>
      </c>
      <c r="BK42" s="3"/>
    </row>
    <row r="43" spans="1:63" x14ac:dyDescent="0.25">
      <c r="A43" s="999" t="s">
        <v>474</v>
      </c>
      <c r="B43" s="999"/>
      <c r="D43" s="4"/>
      <c r="E43" s="4"/>
      <c r="F43" s="4"/>
      <c r="G43" s="4"/>
      <c r="H43" s="4"/>
      <c r="I43" s="4"/>
      <c r="J43" s="4"/>
      <c r="P43" s="4"/>
      <c r="Q43" s="4"/>
      <c r="R43" s="4"/>
      <c r="S43" s="4"/>
      <c r="T43" s="4"/>
      <c r="U43" s="4"/>
      <c r="V43" s="4"/>
      <c r="W43" s="4"/>
      <c r="X43" s="4"/>
      <c r="AA43" s="127" t="s">
        <v>546</v>
      </c>
      <c r="AB43" s="65" t="s">
        <v>277</v>
      </c>
      <c r="AC43" s="4"/>
      <c r="AD43" s="60" t="s">
        <v>770</v>
      </c>
      <c r="AE43" s="10">
        <f>'Eingabe Annahmen'!G23</f>
        <v>6.5</v>
      </c>
      <c r="AF43" s="65" t="s">
        <v>277</v>
      </c>
      <c r="AG43">
        <f>'Eingabe Annahmen'!G23</f>
        <v>6.5</v>
      </c>
      <c r="AH43" s="65" t="s">
        <v>277</v>
      </c>
      <c r="AI43" s="4"/>
      <c r="AJ43" s="4">
        <v>0.62</v>
      </c>
      <c r="AK43" s="4" t="s">
        <v>586</v>
      </c>
      <c r="AL43" s="4"/>
      <c r="AM43" s="4"/>
      <c r="AN43" s="130"/>
      <c r="AO43" s="65"/>
      <c r="AP43" s="4"/>
      <c r="AQ43" s="4"/>
      <c r="AR43" s="4"/>
      <c r="AS43" s="4"/>
      <c r="AT43" s="4"/>
      <c r="AU43" s="4"/>
      <c r="AV43" s="4"/>
      <c r="AW43" s="4"/>
      <c r="AY43" s="4"/>
      <c r="AZ43" s="127" t="s">
        <v>546</v>
      </c>
      <c r="BA43" s="65" t="s">
        <v>277</v>
      </c>
      <c r="BB43" s="4"/>
      <c r="BC43" s="60" t="s">
        <v>770</v>
      </c>
      <c r="BD43" s="10">
        <v>6.5</v>
      </c>
      <c r="BE43" s="65" t="s">
        <v>277</v>
      </c>
      <c r="BG43" s="65" t="s">
        <v>277</v>
      </c>
      <c r="BH43" s="4"/>
      <c r="BI43" s="4">
        <v>0.62</v>
      </c>
      <c r="BJ43" s="4" t="s">
        <v>586</v>
      </c>
      <c r="BK43" s="4"/>
    </row>
    <row r="44" spans="1:63" x14ac:dyDescent="0.25">
      <c r="A44" s="999" t="s">
        <v>475</v>
      </c>
      <c r="B44" s="999"/>
      <c r="D44" s="4"/>
      <c r="E44" s="4"/>
      <c r="F44" s="4"/>
      <c r="G44" s="4"/>
      <c r="H44" s="4"/>
      <c r="I44" s="4"/>
      <c r="J44" s="4"/>
      <c r="P44" s="4"/>
      <c r="Q44" s="4"/>
      <c r="R44" s="4"/>
      <c r="S44" s="4"/>
      <c r="T44" s="4"/>
      <c r="U44" s="4"/>
      <c r="V44" s="4"/>
      <c r="W44" s="4"/>
      <c r="X44" s="4"/>
      <c r="AA44" s="592">
        <f>'Eingabe Annahmen'!G29*'Eingabe Eckdaten'!L63*365/AD20*'Eingabe Annahmen'!G23</f>
        <v>11.712723547634623</v>
      </c>
      <c r="AB44" s="4" t="s">
        <v>626</v>
      </c>
      <c r="AC44" s="4"/>
      <c r="AD44" s="4"/>
      <c r="AE44" s="14">
        <f>AE42*'Eingabe Eckdaten'!L63*365/AD20*AE43</f>
        <v>28.831319501869839</v>
      </c>
      <c r="AF44" s="4" t="s">
        <v>626</v>
      </c>
      <c r="AG44" s="14">
        <f>AG42*AG43</f>
        <v>18.022727272727273</v>
      </c>
      <c r="AH44" s="4" t="s">
        <v>552</v>
      </c>
      <c r="AI44" s="4"/>
      <c r="AJ44" s="248">
        <v>2780</v>
      </c>
      <c r="AK44" s="4" t="s">
        <v>368</v>
      </c>
      <c r="AL44" s="4"/>
      <c r="AM44" s="4"/>
      <c r="AN44" s="142"/>
      <c r="AO44" s="4"/>
      <c r="AP44" s="4"/>
      <c r="AQ44" s="4"/>
      <c r="AR44" s="4"/>
      <c r="AS44" s="4"/>
      <c r="AT44" s="4"/>
      <c r="AU44" s="4"/>
      <c r="AV44" s="4"/>
      <c r="AW44" s="4"/>
      <c r="AY44" s="4"/>
      <c r="AZ44" s="142">
        <f>'Eingabe Annahmen'!G29*'Interne Berechunung'!BJ185*365/BC20*'Eingabe Annahmen'!G23</f>
        <v>11.430567433120942</v>
      </c>
      <c r="BA44" s="4" t="s">
        <v>626</v>
      </c>
      <c r="BB44" s="4"/>
      <c r="BC44" s="4"/>
      <c r="BD44" s="14">
        <f>BD42*'Interne Berechunung'!BJ185*365/BC20*BD43</f>
        <v>28.136781373836165</v>
      </c>
      <c r="BE44" s="4" t="s">
        <v>626</v>
      </c>
      <c r="BF44" s="14">
        <f>BF42*'Eingabe Annahmen'!G23</f>
        <v>18.022727272727273</v>
      </c>
      <c r="BG44" s="4" t="s">
        <v>552</v>
      </c>
      <c r="BH44" s="4"/>
      <c r="BI44" s="248">
        <v>2780</v>
      </c>
      <c r="BJ44" s="4" t="s">
        <v>368</v>
      </c>
      <c r="BK44" s="4"/>
    </row>
    <row r="45" spans="1:63" s="4" customFormat="1" x14ac:dyDescent="0.25">
      <c r="A45" s="999" t="s">
        <v>671</v>
      </c>
      <c r="B45" s="999"/>
      <c r="C45" s="26"/>
      <c r="O45" s="26"/>
      <c r="AA45" s="592">
        <f>AA44*'Eingabe Annahmen'!G24</f>
        <v>4.685089419053849</v>
      </c>
      <c r="AB45" s="4" t="s">
        <v>673</v>
      </c>
      <c r="AE45" s="14">
        <f>AE44*'Eingabe Annahmen'!G24</f>
        <v>11.532527800747935</v>
      </c>
      <c r="AF45" s="4" t="s">
        <v>673</v>
      </c>
      <c r="AG45" s="14">
        <f>AG44*'Eingabe Annahmen'!G24</f>
        <v>7.2090909090909099</v>
      </c>
      <c r="AH45" s="4" t="s">
        <v>393</v>
      </c>
      <c r="AJ45" s="248">
        <v>2728</v>
      </c>
      <c r="AK45" s="4" t="s">
        <v>473</v>
      </c>
      <c r="AN45" s="142"/>
      <c r="AZ45" s="142">
        <f>AZ44*'Eingabe Annahmen'!G24</f>
        <v>4.5722269732483767</v>
      </c>
      <c r="BA45" s="4" t="s">
        <v>673</v>
      </c>
      <c r="BD45" s="14">
        <f>BD44*'Eingabe Annahmen'!G24</f>
        <v>11.254712549534467</v>
      </c>
      <c r="BE45" s="4" t="s">
        <v>673</v>
      </c>
      <c r="BF45" s="14">
        <f>BF44*'Eingabe Annahmen'!G24</f>
        <v>7.2090909090909099</v>
      </c>
      <c r="BG45" s="4" t="s">
        <v>393</v>
      </c>
      <c r="BI45" s="248">
        <v>2728</v>
      </c>
      <c r="BJ45" s="4" t="s">
        <v>473</v>
      </c>
    </row>
    <row r="46" spans="1:63" x14ac:dyDescent="0.25">
      <c r="A46" s="999" t="s">
        <v>443</v>
      </c>
      <c r="B46" s="999"/>
      <c r="D46" s="4"/>
      <c r="E46" s="4"/>
      <c r="F46" s="4"/>
      <c r="G46" s="4"/>
      <c r="H46" s="4"/>
      <c r="I46" s="4"/>
      <c r="J46" s="4"/>
      <c r="P46" s="4"/>
      <c r="Q46" s="4"/>
      <c r="R46" s="4"/>
      <c r="S46" s="4"/>
      <c r="T46" s="4"/>
      <c r="U46" s="4"/>
      <c r="V46" s="4"/>
      <c r="W46" s="4"/>
      <c r="X46" s="4"/>
      <c r="AA46" s="592" t="s">
        <v>546</v>
      </c>
      <c r="AB46" s="10" t="s">
        <v>229</v>
      </c>
      <c r="AC46" s="4"/>
      <c r="AD46" s="4"/>
      <c r="AE46" s="14"/>
      <c r="AF46" s="4"/>
      <c r="AG46" s="14"/>
      <c r="AH46" s="4"/>
      <c r="AI46" s="4"/>
      <c r="AJ46" s="248"/>
      <c r="AK46" s="4"/>
      <c r="AL46" s="4"/>
      <c r="AM46" s="4"/>
      <c r="AN46" s="142"/>
      <c r="AO46" s="4"/>
      <c r="AP46" s="4"/>
      <c r="AQ46" s="4"/>
      <c r="AR46" s="4"/>
      <c r="AS46" s="4"/>
      <c r="AT46" s="4"/>
      <c r="AU46" s="4"/>
      <c r="AV46" s="4"/>
      <c r="AW46" s="4"/>
      <c r="AY46" s="4"/>
      <c r="AZ46" s="592" t="s">
        <v>546</v>
      </c>
      <c r="BA46" s="10" t="s">
        <v>229</v>
      </c>
      <c r="BB46" s="4"/>
      <c r="BC46" s="4"/>
      <c r="BD46" s="14"/>
      <c r="BE46" s="4"/>
      <c r="BF46" s="14"/>
      <c r="BG46" s="4"/>
      <c r="BH46" s="4"/>
      <c r="BI46" s="248"/>
      <c r="BJ46" s="4"/>
      <c r="BK46" s="4"/>
    </row>
    <row r="47" spans="1:63" x14ac:dyDescent="0.25">
      <c r="A47" s="1002" t="s">
        <v>444</v>
      </c>
      <c r="B47" s="1002"/>
      <c r="C47" s="7"/>
      <c r="D47" s="8"/>
      <c r="E47" s="8"/>
      <c r="F47" s="8"/>
      <c r="G47" s="8"/>
      <c r="H47" s="8"/>
      <c r="I47" s="8"/>
      <c r="J47" s="8"/>
      <c r="O47" s="7"/>
      <c r="P47" s="8"/>
      <c r="Q47" s="8"/>
      <c r="R47" s="8"/>
      <c r="S47" s="8"/>
      <c r="T47" s="8"/>
      <c r="U47" s="8"/>
      <c r="V47" s="8"/>
      <c r="W47" s="8"/>
      <c r="X47" s="8"/>
      <c r="AA47" s="256">
        <f>AA45+('Eingabe Annahmen'!G17*'Eingabe Eckdaten'!L63/'Interne Berechunung'!AD20)</f>
        <v>2.2166545301951297</v>
      </c>
      <c r="AB47" s="8" t="s">
        <v>673</v>
      </c>
      <c r="AC47" s="8"/>
      <c r="AD47" s="8"/>
      <c r="AE47" s="259"/>
      <c r="AF47" s="8"/>
      <c r="AG47" s="259"/>
      <c r="AH47" s="8"/>
      <c r="AI47" s="8"/>
      <c r="AJ47" s="253"/>
      <c r="AK47" s="8"/>
      <c r="AL47" s="8"/>
      <c r="AM47" s="4"/>
      <c r="AN47" s="256"/>
      <c r="AO47" s="8"/>
      <c r="AP47" s="8"/>
      <c r="AQ47" s="8"/>
      <c r="AR47" s="8"/>
      <c r="AS47" s="8"/>
      <c r="AT47" s="8"/>
      <c r="AU47" s="8"/>
      <c r="AV47" s="8"/>
      <c r="AW47" s="8"/>
      <c r="AY47" s="4"/>
      <c r="AZ47" s="256">
        <f>AZ45+('Eingabe Annahmen'!G17*'Interne Berechunung'!BJ185/'Interne Berechunung'!BC20)</f>
        <v>2.1632559652144585</v>
      </c>
      <c r="BA47" s="8" t="s">
        <v>673</v>
      </c>
      <c r="BB47" s="8"/>
      <c r="BC47" s="8"/>
      <c r="BD47" s="259"/>
      <c r="BE47" s="8"/>
      <c r="BF47" s="259"/>
      <c r="BG47" s="8"/>
      <c r="BH47" s="8"/>
      <c r="BI47" s="253"/>
      <c r="BJ47" s="8"/>
      <c r="BK47" s="8"/>
    </row>
    <row r="48" spans="1:63" x14ac:dyDescent="0.25">
      <c r="A48" s="4"/>
      <c r="D48" s="4"/>
      <c r="E48" s="4"/>
      <c r="F48" s="4"/>
      <c r="G48" s="4"/>
      <c r="H48" s="4"/>
      <c r="I48" s="4"/>
      <c r="J48" s="4"/>
      <c r="P48" s="4"/>
      <c r="Q48" s="4"/>
      <c r="R48" s="4"/>
      <c r="S48" s="4"/>
      <c r="T48" s="4"/>
      <c r="U48" s="4"/>
      <c r="V48" s="4"/>
      <c r="W48" s="4"/>
      <c r="X48" s="4"/>
      <c r="AM48" s="4"/>
      <c r="AO48" s="4"/>
      <c r="AP48" s="4"/>
      <c r="AQ48" s="4"/>
      <c r="AR48" s="4"/>
      <c r="AS48" s="4"/>
      <c r="AT48" s="4"/>
      <c r="AU48" s="4"/>
      <c r="AV48" s="4"/>
      <c r="AW48" s="4"/>
      <c r="AY48" s="4"/>
    </row>
    <row r="49" spans="1:63" s="13" customFormat="1" x14ac:dyDescent="0.25">
      <c r="A49" s="42" t="s">
        <v>215</v>
      </c>
      <c r="B49" s="12"/>
      <c r="C49" s="124" t="s">
        <v>158</v>
      </c>
      <c r="O49" s="124" t="s">
        <v>52</v>
      </c>
      <c r="AA49" s="157" t="s">
        <v>53</v>
      </c>
      <c r="AM49" s="12"/>
      <c r="AN49" s="157" t="s">
        <v>54</v>
      </c>
      <c r="AY49" s="12"/>
      <c r="AZ49" s="157" t="s">
        <v>45</v>
      </c>
    </row>
    <row r="50" spans="1:63" s="16" customFormat="1" x14ac:dyDescent="0.25">
      <c r="A50" s="10"/>
      <c r="B50" s="10"/>
      <c r="C50" s="135"/>
      <c r="O50" s="135"/>
      <c r="AA50" s="130"/>
      <c r="AM50" s="10"/>
      <c r="AN50" s="135"/>
      <c r="AY50" s="10"/>
      <c r="AZ50" s="130"/>
    </row>
    <row r="51" spans="1:63" x14ac:dyDescent="0.25">
      <c r="A51" s="1011" t="s">
        <v>405</v>
      </c>
      <c r="B51" s="1011"/>
      <c r="O51" s="26" t="s">
        <v>321</v>
      </c>
      <c r="AA51" s="161" t="s">
        <v>589</v>
      </c>
      <c r="AB51" s="30"/>
      <c r="AC51" s="27"/>
      <c r="AM51" s="4"/>
      <c r="AN51" s="26" t="s">
        <v>321</v>
      </c>
      <c r="AY51" s="4"/>
      <c r="AZ51" s="161" t="s">
        <v>589</v>
      </c>
      <c r="BA51" s="30"/>
      <c r="BB51" s="27"/>
    </row>
    <row r="52" spans="1:63" x14ac:dyDescent="0.25">
      <c r="A52" s="1000" t="s">
        <v>605</v>
      </c>
      <c r="B52" s="1000"/>
      <c r="C52" s="154" t="s">
        <v>272</v>
      </c>
      <c r="D52" s="114"/>
      <c r="E52" s="114"/>
      <c r="F52" s="114"/>
      <c r="G52" s="114"/>
      <c r="H52" s="114"/>
      <c r="I52" s="114"/>
      <c r="J52" s="114"/>
      <c r="K52" s="4"/>
      <c r="L52" s="4"/>
      <c r="M52" s="4"/>
      <c r="N52" s="4"/>
      <c r="O52" s="2">
        <v>4.2</v>
      </c>
      <c r="P52" s="3" t="s">
        <v>170</v>
      </c>
      <c r="Q52" s="3"/>
      <c r="R52" s="3"/>
      <c r="S52" s="3"/>
      <c r="T52" s="1000" t="s">
        <v>171</v>
      </c>
      <c r="U52" s="1000"/>
      <c r="V52" s="3">
        <v>100</v>
      </c>
      <c r="W52" s="3" t="s">
        <v>172</v>
      </c>
      <c r="X52" s="3"/>
      <c r="AA52" s="2">
        <v>4.2</v>
      </c>
      <c r="AB52" s="3" t="s">
        <v>170</v>
      </c>
      <c r="AC52" s="3"/>
      <c r="AD52" s="3"/>
      <c r="AE52" s="3"/>
      <c r="AF52" s="1000" t="s">
        <v>171</v>
      </c>
      <c r="AG52" s="1000"/>
      <c r="AH52" s="3">
        <v>100</v>
      </c>
      <c r="AI52" s="3" t="s">
        <v>172</v>
      </c>
      <c r="AJ52" s="3"/>
      <c r="AK52" s="3"/>
      <c r="AL52" s="3"/>
      <c r="AM52" s="4"/>
      <c r="AN52" s="2">
        <v>4.2</v>
      </c>
      <c r="AO52" s="3" t="s">
        <v>170</v>
      </c>
      <c r="AP52" s="3"/>
      <c r="AQ52" s="3"/>
      <c r="AR52" s="3"/>
      <c r="AS52" s="1000" t="s">
        <v>171</v>
      </c>
      <c r="AT52" s="1000"/>
      <c r="AU52" s="3">
        <v>100</v>
      </c>
      <c r="AV52" s="3" t="s">
        <v>172</v>
      </c>
      <c r="AW52" s="3"/>
      <c r="AY52" s="4"/>
      <c r="AZ52" s="2">
        <v>4.2</v>
      </c>
      <c r="BA52" s="3" t="s">
        <v>170</v>
      </c>
      <c r="BB52" s="3"/>
      <c r="BC52" s="3"/>
      <c r="BD52" s="3"/>
      <c r="BE52" s="1000" t="s">
        <v>171</v>
      </c>
      <c r="BF52" s="1000"/>
      <c r="BG52" s="3">
        <v>100</v>
      </c>
      <c r="BH52" s="3" t="s">
        <v>172</v>
      </c>
      <c r="BI52" s="3"/>
      <c r="BJ52" s="3"/>
      <c r="BK52" s="3"/>
    </row>
    <row r="53" spans="1:63" x14ac:dyDescent="0.25">
      <c r="A53" s="999" t="s">
        <v>261</v>
      </c>
      <c r="B53" s="999"/>
      <c r="C53" s="155"/>
      <c r="D53" s="117"/>
      <c r="E53" s="117"/>
      <c r="F53" s="117"/>
      <c r="G53" s="117"/>
      <c r="H53" s="117"/>
      <c r="I53" s="117"/>
      <c r="J53" s="117"/>
      <c r="K53" s="4"/>
      <c r="L53" s="4"/>
      <c r="M53" s="4"/>
      <c r="N53" s="4"/>
      <c r="O53" s="26">
        <v>1000</v>
      </c>
      <c r="P53" s="4" t="s">
        <v>168</v>
      </c>
      <c r="Q53" s="78"/>
      <c r="R53" s="4"/>
      <c r="S53" s="4"/>
      <c r="T53" s="999" t="s">
        <v>173</v>
      </c>
      <c r="U53" s="999"/>
      <c r="V53" s="4">
        <v>0.75</v>
      </c>
      <c r="W53" s="4" t="s">
        <v>499</v>
      </c>
      <c r="X53" s="4"/>
      <c r="AA53" s="26">
        <v>1000</v>
      </c>
      <c r="AB53" s="4" t="s">
        <v>168</v>
      </c>
      <c r="AC53" s="78"/>
      <c r="AD53" s="4"/>
      <c r="AE53" s="4"/>
      <c r="AF53" s="999" t="s">
        <v>173</v>
      </c>
      <c r="AG53" s="999"/>
      <c r="AH53" s="4">
        <v>0.75</v>
      </c>
      <c r="AI53" s="4" t="s">
        <v>499</v>
      </c>
      <c r="AJ53" s="4"/>
      <c r="AK53" s="4"/>
      <c r="AL53" s="4"/>
      <c r="AM53" s="4"/>
      <c r="AN53" s="26">
        <v>1000</v>
      </c>
      <c r="AO53" s="4" t="s">
        <v>168</v>
      </c>
      <c r="AP53" s="78"/>
      <c r="AQ53" s="4"/>
      <c r="AR53" s="4"/>
      <c r="AS53" s="999" t="s">
        <v>173</v>
      </c>
      <c r="AT53" s="999"/>
      <c r="AU53" s="4">
        <v>0.75</v>
      </c>
      <c r="AV53" s="4" t="s">
        <v>499</v>
      </c>
      <c r="AW53" s="4"/>
      <c r="AY53" s="4"/>
      <c r="AZ53" s="26">
        <v>1000</v>
      </c>
      <c r="BA53" s="4" t="s">
        <v>168</v>
      </c>
      <c r="BB53" s="78"/>
      <c r="BC53" s="4"/>
      <c r="BD53" s="4"/>
      <c r="BE53" s="999" t="s">
        <v>173</v>
      </c>
      <c r="BF53" s="999"/>
      <c r="BG53" s="4">
        <v>0.75</v>
      </c>
      <c r="BH53" s="4" t="s">
        <v>499</v>
      </c>
      <c r="BI53" s="4"/>
      <c r="BJ53" s="4"/>
      <c r="BK53" s="4"/>
    </row>
    <row r="54" spans="1:63" x14ac:dyDescent="0.25">
      <c r="A54" s="999" t="s">
        <v>180</v>
      </c>
      <c r="B54" s="999"/>
      <c r="C54" s="155"/>
      <c r="D54" s="117"/>
      <c r="E54" s="117"/>
      <c r="F54" s="117"/>
      <c r="G54" s="117"/>
      <c r="H54" s="117"/>
      <c r="I54" s="117"/>
      <c r="J54" s="117"/>
      <c r="K54" s="4"/>
      <c r="L54" s="4"/>
      <c r="M54" s="4"/>
      <c r="N54" s="4"/>
      <c r="O54" s="26">
        <v>1</v>
      </c>
      <c r="P54" s="4" t="s">
        <v>417</v>
      </c>
      <c r="Q54" s="4"/>
      <c r="R54" s="4"/>
      <c r="S54" s="4"/>
      <c r="T54" s="999" t="s">
        <v>284</v>
      </c>
      <c r="U54" s="999"/>
      <c r="V54" s="4">
        <v>2</v>
      </c>
      <c r="W54" s="4" t="s">
        <v>146</v>
      </c>
      <c r="X54" s="4"/>
      <c r="AA54" s="26">
        <v>1</v>
      </c>
      <c r="AB54" s="4" t="s">
        <v>417</v>
      </c>
      <c r="AC54" s="4"/>
      <c r="AD54" s="4"/>
      <c r="AE54" s="4"/>
      <c r="AF54" s="999" t="s">
        <v>284</v>
      </c>
      <c r="AG54" s="999"/>
      <c r="AH54" s="4">
        <f>'Eingabe Annahmen'!G26</f>
        <v>15</v>
      </c>
      <c r="AI54" s="4" t="s">
        <v>146</v>
      </c>
      <c r="AJ54" s="4"/>
      <c r="AK54" s="4"/>
      <c r="AL54" s="4"/>
      <c r="AM54" s="4"/>
      <c r="AN54" s="26">
        <v>1</v>
      </c>
      <c r="AO54" s="4" t="s">
        <v>417</v>
      </c>
      <c r="AP54" s="4"/>
      <c r="AQ54" s="4"/>
      <c r="AR54" s="4"/>
      <c r="AS54" s="999" t="s">
        <v>284</v>
      </c>
      <c r="AT54" s="999"/>
      <c r="AU54" s="4">
        <v>2</v>
      </c>
      <c r="AV54" s="4" t="s">
        <v>146</v>
      </c>
      <c r="AW54" s="4"/>
      <c r="AY54" s="4"/>
      <c r="AZ54" s="26">
        <v>1</v>
      </c>
      <c r="BA54" s="4" t="s">
        <v>417</v>
      </c>
      <c r="BB54" s="4"/>
      <c r="BC54" s="4"/>
      <c r="BD54" s="4"/>
      <c r="BE54" s="999" t="s">
        <v>284</v>
      </c>
      <c r="BF54" s="999"/>
      <c r="BG54" s="4">
        <f>AZ57</f>
        <v>0</v>
      </c>
      <c r="BH54" s="4" t="s">
        <v>146</v>
      </c>
      <c r="BI54" s="4"/>
      <c r="BJ54" s="4"/>
      <c r="BK54" s="4"/>
    </row>
    <row r="55" spans="1:63" x14ac:dyDescent="0.25">
      <c r="A55" s="999" t="s">
        <v>627</v>
      </c>
      <c r="B55" s="999"/>
      <c r="C55" s="155"/>
      <c r="D55" s="117"/>
      <c r="E55" s="117"/>
      <c r="F55" s="117"/>
      <c r="G55" s="117"/>
      <c r="H55" s="117"/>
      <c r="I55" s="117"/>
      <c r="J55" s="117"/>
      <c r="K55" s="4"/>
      <c r="L55" s="4"/>
      <c r="M55" s="4"/>
      <c r="N55" s="4"/>
      <c r="O55" s="26">
        <v>3600</v>
      </c>
      <c r="P55" s="4" t="s">
        <v>169</v>
      </c>
      <c r="Q55" s="4"/>
      <c r="R55" s="4"/>
      <c r="S55" s="4"/>
      <c r="T55" s="999" t="s">
        <v>338</v>
      </c>
      <c r="U55" s="999"/>
      <c r="V55" s="6">
        <f>V52/V53/V54</f>
        <v>66.666666666666671</v>
      </c>
      <c r="W55" s="4" t="s">
        <v>500</v>
      </c>
      <c r="X55" s="4"/>
      <c r="AA55" s="26">
        <v>3600</v>
      </c>
      <c r="AB55" s="4" t="s">
        <v>169</v>
      </c>
      <c r="AC55" s="4"/>
      <c r="AD55" s="4"/>
      <c r="AE55" s="4"/>
      <c r="AF55" s="999" t="s">
        <v>338</v>
      </c>
      <c r="AG55" s="999"/>
      <c r="AH55" s="6">
        <f>AH52/AH53/AH54</f>
        <v>8.8888888888888893</v>
      </c>
      <c r="AI55" s="4" t="s">
        <v>500</v>
      </c>
      <c r="AJ55" s="4"/>
      <c r="AK55" s="4"/>
      <c r="AL55" s="4"/>
      <c r="AM55" s="4"/>
      <c r="AN55" s="26">
        <v>3600</v>
      </c>
      <c r="AO55" s="4" t="s">
        <v>169</v>
      </c>
      <c r="AP55" s="4"/>
      <c r="AQ55" s="4"/>
      <c r="AR55" s="4"/>
      <c r="AS55" s="999" t="s">
        <v>338</v>
      </c>
      <c r="AT55" s="999"/>
      <c r="AU55" s="6">
        <f>AU52/AU53/AU54</f>
        <v>66.666666666666671</v>
      </c>
      <c r="AV55" s="4" t="s">
        <v>500</v>
      </c>
      <c r="AW55" s="4"/>
      <c r="AY55" s="4"/>
      <c r="AZ55" s="26">
        <v>3600</v>
      </c>
      <c r="BA55" s="4" t="s">
        <v>169</v>
      </c>
      <c r="BB55" s="4"/>
      <c r="BC55" s="4"/>
      <c r="BD55" s="4"/>
      <c r="BE55" s="999" t="s">
        <v>338</v>
      </c>
      <c r="BF55" s="999"/>
      <c r="BG55" s="6" t="e">
        <f>BG52/BG53/BG54</f>
        <v>#DIV/0!</v>
      </c>
      <c r="BH55" s="4" t="s">
        <v>500</v>
      </c>
      <c r="BI55" s="4"/>
      <c r="BJ55" s="4"/>
      <c r="BK55" s="4"/>
    </row>
    <row r="56" spans="1:63" x14ac:dyDescent="0.25">
      <c r="A56" s="999" t="s">
        <v>176</v>
      </c>
      <c r="B56" s="999"/>
      <c r="C56" s="155"/>
      <c r="D56" s="117"/>
      <c r="E56" s="117"/>
      <c r="F56" s="117"/>
      <c r="G56" s="117"/>
      <c r="H56" s="117"/>
      <c r="I56" s="117"/>
      <c r="J56" s="117"/>
      <c r="K56" s="4"/>
      <c r="L56" s="4"/>
      <c r="M56" s="4"/>
      <c r="N56" s="4"/>
      <c r="O56" s="142">
        <f>O52*O53*O54/O55</f>
        <v>1.1666666666666667</v>
      </c>
      <c r="P56" s="4" t="s">
        <v>262</v>
      </c>
      <c r="Q56" s="4" t="s">
        <v>263</v>
      </c>
      <c r="R56" s="4"/>
      <c r="S56" s="4"/>
      <c r="T56" s="4"/>
      <c r="U56" s="4"/>
      <c r="V56" s="4"/>
      <c r="W56" s="4"/>
      <c r="X56" s="4"/>
      <c r="AA56" s="142">
        <f>AA52*AA53*AA54/AA55</f>
        <v>1.1666666666666667</v>
      </c>
      <c r="AB56" s="4" t="s">
        <v>262</v>
      </c>
      <c r="AC56" s="4" t="s">
        <v>263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142">
        <f>AN52*AN53*AN54/AN55</f>
        <v>1.1666666666666667</v>
      </c>
      <c r="AO56" s="4" t="s">
        <v>262</v>
      </c>
      <c r="AP56" s="4" t="s">
        <v>263</v>
      </c>
      <c r="AQ56" s="4"/>
      <c r="AR56" s="4"/>
      <c r="AS56" s="4"/>
      <c r="AT56" s="4"/>
      <c r="AU56" s="4"/>
      <c r="AV56" s="4"/>
      <c r="AW56" s="4"/>
      <c r="AY56" s="4"/>
      <c r="AZ56" s="142">
        <f>AZ52*AZ53*AZ54/AZ55</f>
        <v>1.1666666666666667</v>
      </c>
      <c r="BA56" s="4" t="s">
        <v>262</v>
      </c>
      <c r="BB56" s="4" t="s">
        <v>263</v>
      </c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25">
      <c r="A57" s="999" t="s">
        <v>284</v>
      </c>
      <c r="B57" s="999"/>
      <c r="C57" s="155"/>
      <c r="D57" s="117"/>
      <c r="E57" s="117"/>
      <c r="F57" s="117"/>
      <c r="G57" s="117"/>
      <c r="H57" s="117"/>
      <c r="I57" s="117"/>
      <c r="J57" s="117"/>
      <c r="K57" s="4"/>
      <c r="L57" s="4"/>
      <c r="M57" s="4"/>
      <c r="N57" s="4"/>
      <c r="P57" s="4" t="s">
        <v>417</v>
      </c>
      <c r="Q57" s="4"/>
      <c r="R57" s="4"/>
      <c r="S57" s="4"/>
      <c r="T57" s="4"/>
      <c r="U57" s="4"/>
      <c r="V57" s="4"/>
      <c r="W57" s="4"/>
      <c r="X57" s="4"/>
      <c r="AB57" s="4" t="s">
        <v>417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O57" s="4" t="s">
        <v>417</v>
      </c>
      <c r="AP57" s="4"/>
      <c r="AQ57" s="4"/>
      <c r="AR57" s="4"/>
      <c r="AS57" s="4"/>
      <c r="AT57" s="4"/>
      <c r="AU57" s="4"/>
      <c r="AV57" s="4"/>
      <c r="AW57" s="4"/>
      <c r="AY57" s="4"/>
      <c r="BA57" s="10" t="s">
        <v>207</v>
      </c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25">
      <c r="A58" s="1002" t="s">
        <v>151</v>
      </c>
      <c r="B58" s="1002"/>
      <c r="C58" s="7"/>
      <c r="D58" s="120"/>
      <c r="E58" s="120"/>
      <c r="F58" s="120"/>
      <c r="G58" s="120"/>
      <c r="H58" s="120"/>
      <c r="I58" s="120"/>
      <c r="J58" s="120"/>
      <c r="K58" s="4"/>
      <c r="L58" s="4"/>
      <c r="M58" s="4"/>
      <c r="N58" s="4"/>
      <c r="O58" s="185">
        <f>O56*'Eingabe Annahmen'!F26</f>
        <v>2.3333333333333335</v>
      </c>
      <c r="P58" s="8" t="s">
        <v>476</v>
      </c>
      <c r="Q58" s="8"/>
      <c r="R58" s="8"/>
      <c r="S58" s="8"/>
      <c r="T58" s="8"/>
      <c r="U58" s="8"/>
      <c r="V58" s="8"/>
      <c r="W58" s="8"/>
      <c r="X58" s="8"/>
      <c r="AA58" s="185">
        <f>AA56*'Eingabe Annahmen'!G26</f>
        <v>17.5</v>
      </c>
      <c r="AB58" s="8" t="s">
        <v>476</v>
      </c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4"/>
      <c r="AN58" s="185">
        <f>AN56*'Eingabe Annahmen'!F26</f>
        <v>2.3333333333333335</v>
      </c>
      <c r="AO58" s="8" t="s">
        <v>476</v>
      </c>
      <c r="AP58" s="8"/>
      <c r="AQ58" s="8"/>
      <c r="AR58" s="8"/>
      <c r="AS58" s="8"/>
      <c r="AT58" s="8"/>
      <c r="AU58" s="8"/>
      <c r="AV58" s="8"/>
      <c r="AW58" s="8"/>
      <c r="AY58" s="4"/>
      <c r="AZ58" s="185">
        <f>AZ56*'Eingabe Annahmen'!G26</f>
        <v>17.5</v>
      </c>
      <c r="BA58" s="8" t="s">
        <v>476</v>
      </c>
      <c r="BB58" s="8"/>
      <c r="BC58" s="8"/>
      <c r="BD58" s="8"/>
      <c r="BE58" s="8"/>
      <c r="BF58" s="8"/>
      <c r="BG58" s="8"/>
      <c r="BH58" s="8"/>
      <c r="BI58" s="8"/>
      <c r="BJ58" s="8"/>
      <c r="BK58" s="8"/>
    </row>
    <row r="59" spans="1:63" x14ac:dyDescent="0.25">
      <c r="A59" s="4"/>
      <c r="AM59" s="4"/>
      <c r="AY59" s="4"/>
    </row>
    <row r="60" spans="1:63" x14ac:dyDescent="0.25">
      <c r="A60" s="1002" t="s">
        <v>198</v>
      </c>
      <c r="B60" s="1002"/>
      <c r="AA60" s="7" t="s">
        <v>773</v>
      </c>
      <c r="AE60" s="8" t="s">
        <v>533</v>
      </c>
      <c r="AG60" s="255" t="s">
        <v>584</v>
      </c>
      <c r="AM60" s="4"/>
      <c r="AX60" s="4"/>
      <c r="AY60" s="4"/>
      <c r="AZ60" s="26" t="s">
        <v>773</v>
      </c>
      <c r="BD60" s="8" t="s">
        <v>533</v>
      </c>
      <c r="BF60" s="255" t="s">
        <v>584</v>
      </c>
    </row>
    <row r="61" spans="1:63" x14ac:dyDescent="0.25">
      <c r="A61" s="999" t="s">
        <v>670</v>
      </c>
      <c r="B61" s="999"/>
      <c r="C61" s="2"/>
      <c r="D61" s="3"/>
      <c r="E61" s="3"/>
      <c r="F61" s="3"/>
      <c r="G61" s="3"/>
      <c r="H61" s="3"/>
      <c r="I61" s="3"/>
      <c r="J61" s="3"/>
      <c r="O61" s="2"/>
      <c r="P61" s="3"/>
      <c r="Q61" s="3"/>
      <c r="R61" s="3"/>
      <c r="S61" s="3"/>
      <c r="T61" s="3"/>
      <c r="U61" s="3"/>
      <c r="V61" s="3"/>
      <c r="W61" s="3"/>
      <c r="X61" s="3"/>
      <c r="AA61" s="127" t="s">
        <v>546</v>
      </c>
      <c r="AB61" s="3" t="s">
        <v>810</v>
      </c>
      <c r="AC61" s="59" t="s">
        <v>149</v>
      </c>
      <c r="AD61" s="3"/>
      <c r="AE61" s="3">
        <f>'Eingabe Annahmen'!G25</f>
        <v>0.45</v>
      </c>
      <c r="AF61" s="3" t="s">
        <v>810</v>
      </c>
      <c r="AG61" s="3">
        <f>'Eingabe Annahmen'!G25</f>
        <v>0.45</v>
      </c>
      <c r="AH61" s="3" t="s">
        <v>139</v>
      </c>
      <c r="AI61" s="3"/>
      <c r="AJ61" s="3"/>
      <c r="AK61" s="3"/>
      <c r="AL61" s="3"/>
      <c r="AM61" s="4"/>
      <c r="AN61" s="2"/>
      <c r="AO61" s="3"/>
      <c r="AP61" s="3"/>
      <c r="AQ61" s="3"/>
      <c r="AR61" s="3"/>
      <c r="AS61" s="3"/>
      <c r="AT61" s="3"/>
      <c r="AU61" s="3"/>
      <c r="AV61" s="3"/>
      <c r="AW61" s="3"/>
      <c r="AX61" s="4"/>
      <c r="AY61" s="4"/>
      <c r="AZ61" s="593" t="s">
        <v>652</v>
      </c>
      <c r="BA61" s="3" t="s">
        <v>810</v>
      </c>
      <c r="BB61" s="59" t="s">
        <v>149</v>
      </c>
      <c r="BC61" s="3"/>
      <c r="BD61" s="3">
        <f>'Eingabe Annahmen'!G25</f>
        <v>0.45</v>
      </c>
      <c r="BE61" s="3" t="s">
        <v>810</v>
      </c>
      <c r="BF61" s="3" t="str">
        <f>AZ61</f>
        <v>siehe Annahmen</v>
      </c>
      <c r="BG61" s="3" t="s">
        <v>139</v>
      </c>
      <c r="BH61" s="3"/>
      <c r="BI61" s="3"/>
      <c r="BJ61" s="3"/>
      <c r="BK61" s="3"/>
    </row>
    <row r="62" spans="1:63" s="4" customFormat="1" x14ac:dyDescent="0.25">
      <c r="A62" s="999" t="s">
        <v>475</v>
      </c>
      <c r="B62" s="999"/>
      <c r="C62" s="26"/>
      <c r="O62" s="26"/>
      <c r="AA62" s="133">
        <f>AA44*'Eingabe Annahmen'!G25</f>
        <v>5.2707255964355806</v>
      </c>
      <c r="AB62" s="4" t="s">
        <v>476</v>
      </c>
      <c r="AE62" s="14">
        <f>AE44*AE61</f>
        <v>12.974093775841428</v>
      </c>
      <c r="AF62" s="4" t="s">
        <v>672</v>
      </c>
      <c r="AG62" s="14">
        <f>AG44*AG61</f>
        <v>8.1102272727272737</v>
      </c>
      <c r="AH62" s="4" t="s">
        <v>393</v>
      </c>
      <c r="AN62" s="26"/>
      <c r="AZ62" s="133">
        <f>AZ44*'Eingabe Annahmen'!G25</f>
        <v>5.1437553449044238</v>
      </c>
      <c r="BA62" s="4" t="s">
        <v>476</v>
      </c>
      <c r="BD62" s="14">
        <f>BD44*BD61</f>
        <v>12.661551618226275</v>
      </c>
      <c r="BE62" s="4" t="s">
        <v>672</v>
      </c>
      <c r="BF62" s="14">
        <f>BF44*'Eingabe Annahmen'!G25</f>
        <v>8.1102272727272737</v>
      </c>
      <c r="BG62" s="4" t="s">
        <v>393</v>
      </c>
    </row>
    <row r="63" spans="1:63" x14ac:dyDescent="0.25">
      <c r="A63" s="999" t="s">
        <v>443</v>
      </c>
      <c r="B63" s="999"/>
      <c r="D63" s="4"/>
      <c r="E63" s="4"/>
      <c r="F63" s="4"/>
      <c r="G63" s="4"/>
      <c r="H63" s="4"/>
      <c r="I63" s="4"/>
      <c r="J63" s="4"/>
      <c r="P63" s="4"/>
      <c r="Q63" s="4"/>
      <c r="R63" s="4"/>
      <c r="S63" s="4"/>
      <c r="T63" s="4"/>
      <c r="U63" s="4"/>
      <c r="V63" s="4"/>
      <c r="W63" s="4"/>
      <c r="X63" s="4"/>
      <c r="AA63" s="133" t="s">
        <v>652</v>
      </c>
      <c r="AB63" s="10" t="s">
        <v>229</v>
      </c>
      <c r="AC63" s="4"/>
      <c r="AD63" s="4"/>
      <c r="AE63" s="14"/>
      <c r="AF63" s="4"/>
      <c r="AG63" s="14"/>
      <c r="AH63" s="4"/>
      <c r="AI63" s="4"/>
      <c r="AJ63" s="4"/>
      <c r="AK63" s="4"/>
      <c r="AL63" s="4"/>
      <c r="AM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133" t="s">
        <v>652</v>
      </c>
      <c r="BA63" s="10" t="s">
        <v>229</v>
      </c>
      <c r="BB63" s="4"/>
      <c r="BC63" s="4"/>
      <c r="BD63" s="14"/>
      <c r="BE63" s="4"/>
      <c r="BF63" s="14"/>
      <c r="BG63" s="4"/>
      <c r="BH63" s="4"/>
      <c r="BI63" s="4"/>
      <c r="BJ63" s="4"/>
      <c r="BK63" s="4"/>
    </row>
    <row r="64" spans="1:63" x14ac:dyDescent="0.25">
      <c r="A64" s="1002" t="s">
        <v>444</v>
      </c>
      <c r="B64" s="1002"/>
      <c r="C64" s="7"/>
      <c r="D64" s="8"/>
      <c r="E64" s="8"/>
      <c r="F64" s="8"/>
      <c r="G64" s="8"/>
      <c r="H64" s="8"/>
      <c r="I64" s="8"/>
      <c r="J64" s="8"/>
      <c r="O64" s="7"/>
      <c r="P64" s="8"/>
      <c r="Q64" s="8"/>
      <c r="R64" s="8"/>
      <c r="S64" s="8"/>
      <c r="T64" s="8"/>
      <c r="U64" s="8"/>
      <c r="V64" s="8"/>
      <c r="W64" s="8"/>
      <c r="X64" s="8"/>
      <c r="AA64" s="185">
        <f>AA62+('Eingabe Annahmen'!G18*'Eingabe Eckdaten'!L63/'Interne Berechunung'!AD20)</f>
        <v>-16.451501425521151</v>
      </c>
      <c r="AB64" s="8" t="s">
        <v>476</v>
      </c>
      <c r="AC64" s="8"/>
      <c r="AD64" s="8"/>
      <c r="AE64" s="259"/>
      <c r="AF64" s="8"/>
      <c r="AG64" s="259"/>
      <c r="AH64" s="8"/>
      <c r="AI64" s="8"/>
      <c r="AJ64" s="8"/>
      <c r="AK64" s="8"/>
      <c r="AL64" s="8"/>
      <c r="AM64" s="4"/>
      <c r="AN64" s="7"/>
      <c r="AO64" s="8"/>
      <c r="AP64" s="8"/>
      <c r="AQ64" s="8"/>
      <c r="AR64" s="8"/>
      <c r="AS64" s="8"/>
      <c r="AT64" s="8"/>
      <c r="AU64" s="8"/>
      <c r="AV64" s="8"/>
      <c r="AW64" s="8"/>
      <c r="AX64" s="4"/>
      <c r="AY64" s="4"/>
      <c r="AZ64" s="185">
        <f>AZ62+('Eingabe Annahmen'!G18*'Interne Berechunung'!BJ185/'Interne Berechunung'!BC20)</f>
        <v>-16.055189525794056</v>
      </c>
      <c r="BA64" s="8" t="s">
        <v>476</v>
      </c>
      <c r="BB64" s="8"/>
      <c r="BC64" s="8"/>
      <c r="BD64" s="259"/>
      <c r="BE64" s="8"/>
      <c r="BF64" s="259"/>
      <c r="BG64" s="8"/>
      <c r="BH64" s="8"/>
      <c r="BI64" s="8"/>
      <c r="BJ64" s="8"/>
      <c r="BK64" s="8"/>
    </row>
    <row r="65" spans="1:63" x14ac:dyDescent="0.25">
      <c r="AM65" s="4"/>
      <c r="AX65" s="4"/>
      <c r="AY65" s="4"/>
    </row>
    <row r="66" spans="1:63" s="13" customFormat="1" x14ac:dyDescent="0.25">
      <c r="A66" s="42" t="s">
        <v>588</v>
      </c>
      <c r="B66" s="12"/>
      <c r="C66" s="124" t="s">
        <v>158</v>
      </c>
      <c r="O66" s="124" t="s">
        <v>52</v>
      </c>
      <c r="AA66" s="157" t="s">
        <v>53</v>
      </c>
      <c r="AM66" s="12"/>
      <c r="AN66" s="157" t="s">
        <v>54</v>
      </c>
      <c r="AY66" s="12"/>
      <c r="AZ66" s="157" t="s">
        <v>45</v>
      </c>
    </row>
    <row r="67" spans="1:63" s="16" customFormat="1" x14ac:dyDescent="0.25">
      <c r="A67" s="10"/>
      <c r="B67" s="10"/>
      <c r="C67" s="135"/>
      <c r="O67" s="135"/>
      <c r="AA67" s="130"/>
      <c r="AM67" s="10"/>
      <c r="AN67" s="135"/>
      <c r="AY67" s="10"/>
      <c r="AZ67" s="130"/>
    </row>
    <row r="68" spans="1:63" x14ac:dyDescent="0.25">
      <c r="A68" s="1002" t="s">
        <v>376</v>
      </c>
      <c r="B68" s="1002"/>
      <c r="C68" s="26" t="s">
        <v>377</v>
      </c>
      <c r="O68" s="7" t="s">
        <v>523</v>
      </c>
      <c r="P68" s="8"/>
      <c r="Q68" s="8"/>
      <c r="R68" s="8"/>
      <c r="S68" s="8"/>
      <c r="T68" s="8"/>
      <c r="U68" s="4"/>
      <c r="V68" s="4"/>
      <c r="W68" s="4"/>
      <c r="X68" s="4"/>
      <c r="Y68" s="4"/>
      <c r="Z68" s="4"/>
      <c r="AA68" s="26" t="s">
        <v>471</v>
      </c>
      <c r="AM68" s="4"/>
      <c r="AN68" s="7" t="s">
        <v>523</v>
      </c>
      <c r="AO68" s="8"/>
      <c r="AP68" s="8"/>
      <c r="AQ68" s="8"/>
      <c r="AR68" s="8"/>
      <c r="AS68" s="8"/>
      <c r="AT68" s="4"/>
      <c r="AU68" s="4"/>
      <c r="AV68" s="4"/>
      <c r="AW68" s="4"/>
      <c r="AX68" s="4"/>
      <c r="AY68" s="4"/>
      <c r="AZ68" s="26" t="s">
        <v>471</v>
      </c>
    </row>
    <row r="69" spans="1:63" x14ac:dyDescent="0.25">
      <c r="A69" s="1010" t="s">
        <v>36</v>
      </c>
      <c r="B69" s="1010"/>
      <c r="C69" s="168">
        <f>('Eingabe Annahmen'!G35+'Eingabe Annahmen'!G33+'Eingabe Annahmen'!G34)/1000*365</f>
        <v>0.73</v>
      </c>
      <c r="D69" s="69" t="s">
        <v>582</v>
      </c>
      <c r="E69" s="3"/>
      <c r="F69" s="59" t="s">
        <v>260</v>
      </c>
      <c r="G69" s="3"/>
      <c r="H69" s="3"/>
      <c r="I69" s="3"/>
      <c r="J69" s="3"/>
      <c r="O69" s="26">
        <v>0.24</v>
      </c>
      <c r="P69" s="31" t="s">
        <v>716</v>
      </c>
      <c r="Q69" t="s">
        <v>218</v>
      </c>
      <c r="R69" s="20"/>
      <c r="S69" s="20" t="s">
        <v>459</v>
      </c>
      <c r="U69" s="3"/>
      <c r="V69" s="3"/>
      <c r="W69" s="3"/>
      <c r="X69" s="3"/>
      <c r="Y69" s="4"/>
      <c r="Z69" s="4"/>
      <c r="AA69" s="2"/>
      <c r="AB69" s="3"/>
      <c r="AC69" s="3"/>
      <c r="AD69" s="3"/>
      <c r="AE69" s="92"/>
      <c r="AF69" s="62"/>
      <c r="AG69" s="62"/>
      <c r="AH69" s="3"/>
      <c r="AI69" s="3"/>
      <c r="AJ69" s="3"/>
      <c r="AK69" s="3"/>
      <c r="AL69" s="3"/>
      <c r="AM69" s="4"/>
      <c r="AN69" s="26">
        <v>0.24</v>
      </c>
      <c r="AO69" s="31" t="s">
        <v>716</v>
      </c>
      <c r="AP69" t="s">
        <v>218</v>
      </c>
      <c r="AQ69" s="20"/>
      <c r="AR69" s="20" t="s">
        <v>459</v>
      </c>
      <c r="AT69" s="3"/>
      <c r="AU69" s="3"/>
      <c r="AV69" s="3"/>
      <c r="AW69" s="3"/>
      <c r="AX69" s="4"/>
      <c r="AY69" s="4"/>
      <c r="AZ69" s="2"/>
      <c r="BA69" s="3"/>
      <c r="BB69" s="3"/>
      <c r="BC69" s="3"/>
      <c r="BD69" s="92"/>
      <c r="BE69" s="62"/>
      <c r="BF69" s="62"/>
      <c r="BG69" s="3"/>
      <c r="BH69" s="3"/>
      <c r="BI69" s="3"/>
      <c r="BJ69" s="3"/>
      <c r="BK69" s="3"/>
    </row>
    <row r="70" spans="1:63" x14ac:dyDescent="0.25">
      <c r="A70" s="999" t="s">
        <v>872</v>
      </c>
      <c r="B70" s="999"/>
      <c r="C70" s="144">
        <f>'Eingabe Eckdaten'!L21*C69/1000</f>
        <v>456.25</v>
      </c>
      <c r="D70" s="70" t="s">
        <v>421</v>
      </c>
      <c r="E70" s="4"/>
      <c r="F70" s="4"/>
      <c r="G70" s="4"/>
      <c r="H70" s="4"/>
      <c r="I70" s="111"/>
      <c r="J70" s="97"/>
      <c r="O70" s="127" t="s">
        <v>395</v>
      </c>
      <c r="Q70" s="31"/>
      <c r="U70" s="111"/>
      <c r="V70" s="97"/>
      <c r="W70" s="4"/>
      <c r="X70" s="4"/>
      <c r="AB70" s="4"/>
      <c r="AC70" s="4"/>
      <c r="AD70" s="4"/>
      <c r="AE70" s="37"/>
      <c r="AF70" s="71"/>
      <c r="AG70" s="70"/>
      <c r="AH70" s="4"/>
      <c r="AI70" s="4"/>
      <c r="AJ70" s="4"/>
      <c r="AK70" s="4"/>
      <c r="AL70" s="4"/>
      <c r="AM70" s="4"/>
      <c r="AN70" s="127" t="s">
        <v>395</v>
      </c>
      <c r="AP70" s="31"/>
      <c r="AT70" s="111"/>
      <c r="AU70" s="97"/>
      <c r="AV70" s="4"/>
      <c r="AW70" s="4"/>
      <c r="AY70" s="4"/>
      <c r="BA70" s="4"/>
      <c r="BB70" s="4"/>
      <c r="BC70" s="4"/>
      <c r="BD70" s="37"/>
      <c r="BE70" s="71"/>
      <c r="BF70" s="70"/>
      <c r="BG70" s="4"/>
      <c r="BH70" s="4"/>
      <c r="BI70" s="4"/>
      <c r="BJ70" s="4"/>
      <c r="BK70" s="4"/>
    </row>
    <row r="71" spans="1:63" x14ac:dyDescent="0.25">
      <c r="A71" s="999" t="s">
        <v>587</v>
      </c>
      <c r="B71" s="999"/>
      <c r="C71" s="144">
        <v>0.5</v>
      </c>
      <c r="D71" s="171" t="s">
        <v>678</v>
      </c>
      <c r="E71" s="4"/>
      <c r="F71" s="4"/>
      <c r="G71" s="4"/>
      <c r="H71" s="4"/>
      <c r="I71" s="112"/>
      <c r="J71" s="97"/>
      <c r="O71" s="127" t="s">
        <v>395</v>
      </c>
      <c r="U71" s="112"/>
      <c r="V71" s="97"/>
      <c r="W71" s="4"/>
      <c r="X71" s="4"/>
      <c r="AB71" s="4"/>
      <c r="AC71" s="4"/>
      <c r="AD71" s="4"/>
      <c r="AE71" s="37"/>
      <c r="AF71" s="4"/>
      <c r="AG71" s="4"/>
      <c r="AH71" s="4"/>
      <c r="AI71" s="4"/>
      <c r="AJ71" s="4"/>
      <c r="AK71" s="4"/>
      <c r="AL71" s="4"/>
      <c r="AM71" s="4"/>
      <c r="AN71" s="127" t="s">
        <v>395</v>
      </c>
      <c r="AT71" s="112"/>
      <c r="AU71" s="97"/>
      <c r="AV71" s="4"/>
      <c r="AW71" s="4"/>
      <c r="AY71" s="4"/>
      <c r="BA71" s="4"/>
      <c r="BB71" s="4"/>
      <c r="BC71" s="4"/>
      <c r="BD71" s="37"/>
      <c r="BE71" s="4"/>
      <c r="BF71" s="4"/>
      <c r="BG71" s="4"/>
      <c r="BH71" s="4"/>
      <c r="BI71" s="4"/>
      <c r="BJ71" s="4"/>
      <c r="BK71" s="4"/>
    </row>
    <row r="72" spans="1:63" x14ac:dyDescent="0.25">
      <c r="A72" s="1006" t="s">
        <v>106</v>
      </c>
      <c r="B72" s="1006"/>
      <c r="C72" s="144">
        <v>1</v>
      </c>
      <c r="D72" s="70" t="s">
        <v>395</v>
      </c>
      <c r="E72" s="4"/>
      <c r="F72" s="4"/>
      <c r="G72" s="4"/>
      <c r="H72" s="4"/>
      <c r="I72" s="97"/>
      <c r="J72" s="97"/>
      <c r="O72" s="127" t="s">
        <v>395</v>
      </c>
      <c r="U72" s="97"/>
      <c r="V72" s="97"/>
      <c r="W72" s="4"/>
      <c r="X72" s="4"/>
      <c r="AB72" s="4"/>
      <c r="AC72" s="4"/>
      <c r="AD72" s="4"/>
      <c r="AE72" s="37"/>
      <c r="AF72" s="4"/>
      <c r="AG72" s="4"/>
      <c r="AH72" s="4"/>
      <c r="AI72" s="4"/>
      <c r="AJ72" s="4"/>
      <c r="AK72" s="4"/>
      <c r="AL72" s="4"/>
      <c r="AM72" s="4"/>
      <c r="AN72" s="127" t="s">
        <v>395</v>
      </c>
      <c r="AT72" s="97"/>
      <c r="AU72" s="97"/>
      <c r="AV72" s="4"/>
      <c r="AW72" s="4"/>
      <c r="AY72" s="4"/>
      <c r="BA72" s="4"/>
      <c r="BB72" s="4"/>
      <c r="BC72" s="4"/>
      <c r="BD72" s="37"/>
      <c r="BE72" s="4"/>
      <c r="BF72" s="4"/>
      <c r="BG72" s="4"/>
      <c r="BH72" s="4"/>
      <c r="BI72" s="4"/>
      <c r="BJ72" s="4"/>
      <c r="BK72" s="4"/>
    </row>
    <row r="73" spans="1:63" x14ac:dyDescent="0.25">
      <c r="A73" s="999" t="s">
        <v>211</v>
      </c>
      <c r="B73" s="999"/>
      <c r="C73" s="143">
        <f>C70*C71*C72</f>
        <v>228.125</v>
      </c>
      <c r="D73" s="70" t="s">
        <v>421</v>
      </c>
      <c r="E73" s="4"/>
      <c r="F73" s="4"/>
      <c r="G73" s="4"/>
      <c r="H73" s="4"/>
      <c r="I73" s="97"/>
      <c r="J73" s="97"/>
      <c r="O73" s="142">
        <f>'Eingabe Eckdaten'!L42*O69/1000</f>
        <v>108</v>
      </c>
      <c r="P73" s="31" t="s">
        <v>421</v>
      </c>
      <c r="Q73" s="31"/>
      <c r="U73" s="97"/>
      <c r="V73" s="97"/>
      <c r="W73" s="4"/>
      <c r="X73" s="4"/>
      <c r="AB73" s="4"/>
      <c r="AC73" s="4"/>
      <c r="AD73" s="4"/>
      <c r="AE73" s="37"/>
      <c r="AF73" s="71"/>
      <c r="AG73" s="70"/>
      <c r="AH73" s="4"/>
      <c r="AI73" s="4"/>
      <c r="AJ73" s="4"/>
      <c r="AK73" s="4"/>
      <c r="AL73" s="4"/>
      <c r="AM73" s="4"/>
      <c r="AN73" s="142">
        <f>'Interne Berechunung'!AX185*AN69/1000</f>
        <v>150</v>
      </c>
      <c r="AO73" s="31" t="s">
        <v>421</v>
      </c>
      <c r="AP73" s="31"/>
      <c r="AT73" s="97"/>
      <c r="AU73" s="97"/>
      <c r="AV73" s="4"/>
      <c r="AW73" s="4"/>
      <c r="AY73" s="4"/>
      <c r="BA73" s="4"/>
      <c r="BB73" s="4"/>
      <c r="BC73" s="4"/>
      <c r="BD73" s="37"/>
      <c r="BE73" s="71"/>
      <c r="BF73" s="70"/>
      <c r="BG73" s="4"/>
      <c r="BH73" s="4"/>
      <c r="BI73" s="4"/>
      <c r="BJ73" s="4"/>
      <c r="BK73" s="4"/>
    </row>
    <row r="74" spans="1:63" x14ac:dyDescent="0.25">
      <c r="A74" s="999" t="s">
        <v>273</v>
      </c>
      <c r="B74" s="999"/>
      <c r="D74" s="70" t="s">
        <v>287</v>
      </c>
      <c r="E74" s="14">
        <v>12.3</v>
      </c>
      <c r="F74" s="4" t="s">
        <v>724</v>
      </c>
      <c r="H74" s="14">
        <v>-2.7</v>
      </c>
      <c r="I74" s="233" t="s">
        <v>159</v>
      </c>
      <c r="J74" s="97"/>
      <c r="P74" s="31" t="s">
        <v>733</v>
      </c>
      <c r="Q74" s="14">
        <v>95</v>
      </c>
      <c r="R74" s="4" t="s">
        <v>264</v>
      </c>
      <c r="S74" s="15">
        <v>60.3</v>
      </c>
      <c r="T74" t="s">
        <v>632</v>
      </c>
      <c r="U74" s="14">
        <v>-1.2</v>
      </c>
      <c r="V74" s="233" t="s">
        <v>715</v>
      </c>
      <c r="X74" s="4"/>
      <c r="AB74" s="31" t="s">
        <v>733</v>
      </c>
      <c r="AC74" s="14">
        <v>95</v>
      </c>
      <c r="AD74" s="4" t="s">
        <v>264</v>
      </c>
      <c r="AE74" s="15">
        <v>60.3</v>
      </c>
      <c r="AF74" t="s">
        <v>632</v>
      </c>
      <c r="AG74" s="14">
        <v>-1.2</v>
      </c>
      <c r="AH74" s="233" t="s">
        <v>715</v>
      </c>
      <c r="AI74" s="4"/>
      <c r="AJ74" s="4"/>
      <c r="AK74" s="60" t="s">
        <v>450</v>
      </c>
      <c r="AL74" s="4"/>
      <c r="AM74" s="4"/>
      <c r="AN74" s="234">
        <f>'Eingabe Annahmen'!F31</f>
        <v>-2.1</v>
      </c>
      <c r="AO74" s="31" t="s">
        <v>733</v>
      </c>
      <c r="AP74" s="14">
        <v>95</v>
      </c>
      <c r="AQ74" s="4" t="s">
        <v>264</v>
      </c>
      <c r="AR74" s="15">
        <v>60.3</v>
      </c>
      <c r="AS74" t="s">
        <v>632</v>
      </c>
      <c r="AT74" s="14">
        <v>-1.2</v>
      </c>
      <c r="AU74" s="233" t="s">
        <v>715</v>
      </c>
      <c r="AV74" s="4"/>
      <c r="AW74" s="4"/>
      <c r="AY74" s="4"/>
      <c r="AZ74" s="234">
        <f>'Eingabe Annahmen'!G31</f>
        <v>-2.1</v>
      </c>
      <c r="BA74" s="31" t="s">
        <v>733</v>
      </c>
      <c r="BB74" s="14">
        <v>95</v>
      </c>
      <c r="BC74" s="4" t="s">
        <v>264</v>
      </c>
      <c r="BD74" s="15">
        <v>60.3</v>
      </c>
      <c r="BE74" t="s">
        <v>632</v>
      </c>
      <c r="BF74" s="14">
        <v>-1.2</v>
      </c>
      <c r="BG74" s="233" t="s">
        <v>715</v>
      </c>
      <c r="BH74" s="4"/>
      <c r="BI74" s="4"/>
      <c r="BJ74" s="60" t="s">
        <v>450</v>
      </c>
      <c r="BK74" s="4"/>
    </row>
    <row r="75" spans="1:63" x14ac:dyDescent="0.25">
      <c r="A75" s="999" t="s">
        <v>274</v>
      </c>
      <c r="B75" s="999"/>
      <c r="C75" s="169">
        <f>C73*'Eingabe Annahmen'!E31</f>
        <v>-5018.75</v>
      </c>
      <c r="D75" s="70" t="s">
        <v>379</v>
      </c>
      <c r="E75" s="4"/>
      <c r="F75" s="4"/>
      <c r="G75" s="4"/>
      <c r="H75" s="4"/>
      <c r="I75" s="97"/>
      <c r="J75" s="97"/>
      <c r="O75" s="143">
        <f>'Eingabe Annahmen'!F31*O73</f>
        <v>-226.8</v>
      </c>
      <c r="P75" s="31" t="s">
        <v>590</v>
      </c>
      <c r="Q75" s="4"/>
      <c r="R75" s="4"/>
      <c r="S75" s="4"/>
      <c r="T75" s="4"/>
      <c r="U75" s="97"/>
      <c r="V75" s="97"/>
      <c r="W75" s="4"/>
      <c r="X75" s="4"/>
      <c r="AA75" s="143">
        <f>'Eingabe Annahmen'!G31*AA90</f>
        <v>-310.43250000000006</v>
      </c>
      <c r="AB75" s="70" t="s">
        <v>590</v>
      </c>
      <c r="AC75" s="4"/>
      <c r="AD75" s="4"/>
      <c r="AE75" s="4"/>
      <c r="AF75" s="97"/>
      <c r="AG75" s="97"/>
      <c r="AH75" s="4"/>
      <c r="AI75" s="4"/>
      <c r="AJ75" s="4"/>
      <c r="AK75" s="4"/>
      <c r="AL75" s="4"/>
      <c r="AM75" s="4"/>
      <c r="AN75" s="143">
        <f>AN74*AN73</f>
        <v>-315</v>
      </c>
      <c r="AO75" s="31" t="s">
        <v>590</v>
      </c>
      <c r="AT75" s="97"/>
      <c r="AU75" s="97"/>
      <c r="AV75" s="4"/>
      <c r="AW75" s="4"/>
      <c r="AY75" s="4"/>
      <c r="AZ75" s="143">
        <f>AZ74*AZ90</f>
        <v>-431.15625</v>
      </c>
      <c r="BA75" s="70" t="s">
        <v>590</v>
      </c>
      <c r="BB75" s="4"/>
      <c r="BC75" s="4"/>
      <c r="BD75" s="4"/>
      <c r="BE75" s="97"/>
      <c r="BF75" s="97"/>
      <c r="BG75" s="4"/>
      <c r="BH75" s="4"/>
      <c r="BI75" s="4"/>
      <c r="BJ75" s="4"/>
      <c r="BK75" s="4"/>
    </row>
    <row r="76" spans="1:63" x14ac:dyDescent="0.25">
      <c r="A76" s="1002" t="s">
        <v>843</v>
      </c>
      <c r="B76" s="1002"/>
      <c r="C76" s="170">
        <f>C75/J16*1000</f>
        <v>-0.16355107636975758</v>
      </c>
      <c r="D76" s="72" t="s">
        <v>723</v>
      </c>
      <c r="E76" s="8"/>
      <c r="F76" s="8"/>
      <c r="G76" s="8"/>
      <c r="H76" s="8"/>
      <c r="I76" s="98"/>
      <c r="J76" s="99"/>
      <c r="O76" s="170">
        <f>O75/R18*1000</f>
        <v>-0.24439325978906534</v>
      </c>
      <c r="P76" s="72" t="s">
        <v>418</v>
      </c>
      <c r="Q76" s="8"/>
      <c r="R76" s="8"/>
      <c r="S76" s="8"/>
      <c r="T76" s="8"/>
      <c r="U76" s="99"/>
      <c r="V76" s="99"/>
      <c r="W76" s="8"/>
      <c r="X76" s="8"/>
      <c r="AA76" s="170">
        <f>AA75/AD20*1000</f>
        <v>-0.17028498080791879</v>
      </c>
      <c r="AB76" s="207" t="s">
        <v>679</v>
      </c>
      <c r="AC76" s="8"/>
      <c r="AD76" s="8"/>
      <c r="AE76" s="8"/>
      <c r="AF76" s="98"/>
      <c r="AG76" s="99"/>
      <c r="AH76" s="8"/>
      <c r="AI76" s="8"/>
      <c r="AJ76" s="8"/>
      <c r="AK76" s="8"/>
      <c r="AL76" s="8"/>
      <c r="AM76" s="4"/>
      <c r="AN76" s="170">
        <f>AN75/AQ18*1000</f>
        <v>-0.24439325978906534</v>
      </c>
      <c r="AO76" s="72" t="s">
        <v>418</v>
      </c>
      <c r="AP76" s="8"/>
      <c r="AQ76" s="8"/>
      <c r="AR76" s="8"/>
      <c r="AS76" s="8"/>
      <c r="AT76" s="99"/>
      <c r="AU76" s="99"/>
      <c r="AV76" s="8"/>
      <c r="AW76" s="8"/>
      <c r="AY76" s="4"/>
      <c r="AZ76" s="170">
        <f>AZ75/BC20*1000</f>
        <v>-0.16618286498921986</v>
      </c>
      <c r="BA76" s="207" t="s">
        <v>679</v>
      </c>
      <c r="BB76" s="8"/>
      <c r="BC76" s="8"/>
      <c r="BD76" s="8"/>
      <c r="BE76" s="98"/>
      <c r="BF76" s="99"/>
      <c r="BG76" s="8"/>
      <c r="BH76" s="8"/>
      <c r="BI76" s="8"/>
      <c r="BJ76" s="8"/>
      <c r="BK76" s="8"/>
    </row>
    <row r="77" spans="1:63" x14ac:dyDescent="0.25">
      <c r="A77" s="4"/>
      <c r="I77" s="40"/>
      <c r="J77" s="40"/>
      <c r="U77" s="40"/>
      <c r="V77" s="40"/>
      <c r="AA77" s="130"/>
      <c r="AB77" s="16"/>
      <c r="AF77" s="39"/>
      <c r="AG77" s="40"/>
      <c r="AM77" s="4"/>
      <c r="AT77" s="40"/>
      <c r="AU77" s="40"/>
      <c r="AY77" s="4"/>
      <c r="AZ77" s="130"/>
      <c r="BA77" s="16"/>
      <c r="BE77" s="39"/>
      <c r="BF77" s="40"/>
    </row>
    <row r="78" spans="1:63" x14ac:dyDescent="0.25">
      <c r="A78" s="1002" t="s">
        <v>360</v>
      </c>
      <c r="B78" s="1002"/>
      <c r="C78" s="26" t="s">
        <v>361</v>
      </c>
      <c r="I78" s="39"/>
      <c r="J78" s="40"/>
      <c r="O78" s="144" t="s">
        <v>409</v>
      </c>
      <c r="P78" s="27"/>
      <c r="R78" s="8"/>
      <c r="S78" s="8"/>
      <c r="U78" s="39"/>
      <c r="V78" s="40"/>
      <c r="AA78" s="191" t="s">
        <v>577</v>
      </c>
      <c r="AB78" s="208"/>
      <c r="AM78" s="4"/>
      <c r="AN78" s="144" t="s">
        <v>409</v>
      </c>
      <c r="AO78" s="27"/>
      <c r="AQ78" s="4"/>
      <c r="AR78" s="4"/>
      <c r="AT78" s="39"/>
      <c r="AU78" s="40"/>
      <c r="AY78" s="4"/>
      <c r="AZ78" s="191" t="s">
        <v>577</v>
      </c>
      <c r="BA78" s="208"/>
    </row>
    <row r="79" spans="1:63" x14ac:dyDescent="0.25">
      <c r="A79" s="999" t="s">
        <v>273</v>
      </c>
      <c r="B79" s="999"/>
      <c r="C79" s="154" t="s">
        <v>629</v>
      </c>
      <c r="D79" s="114"/>
      <c r="E79" s="114"/>
      <c r="F79" s="114"/>
      <c r="G79" s="114"/>
      <c r="H79" s="114"/>
      <c r="I79" s="115"/>
      <c r="J79" s="116"/>
      <c r="O79" s="168">
        <v>-4</v>
      </c>
      <c r="P79" s="3" t="s">
        <v>256</v>
      </c>
      <c r="Q79" s="3"/>
      <c r="S79" s="20" t="s">
        <v>630</v>
      </c>
      <c r="T79" s="3"/>
      <c r="U79" s="3" t="s">
        <v>531</v>
      </c>
      <c r="V79" s="108"/>
      <c r="W79" s="3"/>
      <c r="X79" s="3"/>
      <c r="AA79" s="237">
        <v>-4</v>
      </c>
      <c r="AB79" s="3" t="s">
        <v>256</v>
      </c>
      <c r="AC79" s="3"/>
      <c r="AD79" s="59" t="s">
        <v>630</v>
      </c>
      <c r="AE79" s="3"/>
      <c r="AF79" s="3" t="s">
        <v>531</v>
      </c>
      <c r="AG79" s="3"/>
      <c r="AH79" s="3"/>
      <c r="AI79" s="3"/>
      <c r="AJ79" s="3"/>
      <c r="AK79" s="3"/>
      <c r="AL79" s="3"/>
      <c r="AM79" s="4"/>
      <c r="AN79" s="168">
        <v>-4</v>
      </c>
      <c r="AO79" s="3" t="s">
        <v>256</v>
      </c>
      <c r="AP79" s="3"/>
      <c r="AQ79" s="59" t="s">
        <v>630</v>
      </c>
      <c r="AR79" s="3"/>
      <c r="AS79" s="3" t="s">
        <v>531</v>
      </c>
      <c r="AT79" s="107"/>
      <c r="AU79" s="108"/>
      <c r="AV79" s="3"/>
      <c r="AW79" s="3"/>
      <c r="AY79" s="4"/>
      <c r="AZ79" s="209">
        <v>-3.5</v>
      </c>
      <c r="BA79" s="210">
        <v>-4.5</v>
      </c>
      <c r="BB79" s="3" t="s">
        <v>256</v>
      </c>
      <c r="BC79" s="3"/>
      <c r="BD79" s="3" t="s">
        <v>531</v>
      </c>
      <c r="BE79" s="3"/>
      <c r="BF79" s="59" t="s">
        <v>825</v>
      </c>
      <c r="BG79" s="3"/>
      <c r="BH79" s="3"/>
      <c r="BI79" s="3"/>
      <c r="BJ79" s="3"/>
      <c r="BK79" s="3"/>
    </row>
    <row r="80" spans="1:63" x14ac:dyDescent="0.25">
      <c r="A80" s="999" t="s">
        <v>273</v>
      </c>
      <c r="B80" s="999"/>
      <c r="C80" s="155"/>
      <c r="D80" s="117"/>
      <c r="E80" s="117"/>
      <c r="F80" s="117"/>
      <c r="G80" s="117"/>
      <c r="H80" s="117"/>
      <c r="I80" s="118"/>
      <c r="J80" s="119"/>
      <c r="P80" s="4" t="s">
        <v>217</v>
      </c>
      <c r="Q80" s="4"/>
      <c r="S80" s="20" t="s">
        <v>630</v>
      </c>
      <c r="T80" s="4"/>
      <c r="U80" s="4" t="s">
        <v>124</v>
      </c>
      <c r="V80" s="97"/>
      <c r="W80" s="4"/>
      <c r="X80" s="4"/>
      <c r="AB80" s="4" t="s">
        <v>217</v>
      </c>
      <c r="AC80" s="4"/>
      <c r="AD80" s="20" t="s">
        <v>630</v>
      </c>
      <c r="AE80" s="4"/>
      <c r="AF80" s="4" t="s">
        <v>124</v>
      </c>
      <c r="AG80" s="4"/>
      <c r="AH80" s="4"/>
      <c r="AI80" s="4"/>
      <c r="AJ80" s="4"/>
      <c r="AK80" s="4"/>
      <c r="AL80" s="4"/>
      <c r="AM80" s="4"/>
      <c r="AN80" s="140"/>
      <c r="AO80" s="4" t="s">
        <v>217</v>
      </c>
      <c r="AP80" s="4"/>
      <c r="AQ80" s="60" t="s">
        <v>630</v>
      </c>
      <c r="AR80" s="4"/>
      <c r="AS80" s="4" t="s">
        <v>124</v>
      </c>
      <c r="AT80" s="109"/>
      <c r="AU80" s="97"/>
      <c r="AV80" s="4"/>
      <c r="AW80" s="4"/>
      <c r="AY80" s="4"/>
      <c r="AZ80" s="191"/>
      <c r="BA80" s="211"/>
      <c r="BB80" s="4" t="s">
        <v>217</v>
      </c>
      <c r="BC80" s="4"/>
      <c r="BD80" s="4" t="s">
        <v>124</v>
      </c>
      <c r="BE80" s="4"/>
      <c r="BF80" s="60" t="s">
        <v>825</v>
      </c>
      <c r="BG80" s="4"/>
      <c r="BH80" s="4"/>
      <c r="BI80" s="4"/>
      <c r="BJ80" s="4"/>
      <c r="BK80" s="4"/>
    </row>
    <row r="81" spans="1:63" x14ac:dyDescent="0.25">
      <c r="A81" s="999" t="s">
        <v>843</v>
      </c>
      <c r="B81" s="999"/>
      <c r="C81" s="155"/>
      <c r="D81" s="117"/>
      <c r="E81" s="117"/>
      <c r="F81" s="117"/>
      <c r="G81" s="117"/>
      <c r="H81" s="117"/>
      <c r="I81" s="117"/>
      <c r="J81" s="117"/>
      <c r="O81" s="235">
        <f>O79*O98</f>
        <v>-0.9557522123893808</v>
      </c>
      <c r="P81" s="4" t="s">
        <v>320</v>
      </c>
      <c r="Q81" s="4"/>
      <c r="R81" s="4"/>
      <c r="S81" s="4" t="s">
        <v>532</v>
      </c>
      <c r="T81" s="4"/>
      <c r="U81" s="109"/>
      <c r="V81" s="97"/>
      <c r="W81" s="4"/>
      <c r="X81" s="4"/>
      <c r="AA81" s="221">
        <f>AA79*AA98</f>
        <v>-3.3732643817187715</v>
      </c>
      <c r="AB81" s="4" t="s">
        <v>320</v>
      </c>
      <c r="AC81" s="4"/>
      <c r="AD81" s="4" t="s">
        <v>532</v>
      </c>
      <c r="AE81" s="4"/>
      <c r="AF81" s="109"/>
      <c r="AG81" s="4"/>
      <c r="AH81" s="4"/>
      <c r="AI81" s="4"/>
      <c r="AJ81" s="4"/>
      <c r="AK81" s="4"/>
      <c r="AL81" s="4"/>
      <c r="AM81" s="4"/>
      <c r="AN81" s="235">
        <f>AN79*AN98</f>
        <v>-0.95575221238938057</v>
      </c>
      <c r="AO81" s="4" t="s">
        <v>320</v>
      </c>
      <c r="AP81" s="4"/>
      <c r="AQ81" s="4" t="s">
        <v>532</v>
      </c>
      <c r="AR81" s="4"/>
      <c r="AS81" s="109"/>
      <c r="AT81" s="109"/>
      <c r="AU81" s="97"/>
      <c r="AV81" s="4"/>
      <c r="AW81" s="4"/>
      <c r="AY81" s="4"/>
      <c r="AZ81" s="212"/>
      <c r="BA81" s="213">
        <f>(AZ79+BA79)/2*AZ98</f>
        <v>-3.2920034207388311</v>
      </c>
      <c r="BB81" s="4" t="s">
        <v>320</v>
      </c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25">
      <c r="A82" s="1002" t="s">
        <v>843</v>
      </c>
      <c r="B82" s="1002"/>
      <c r="C82" s="156"/>
      <c r="D82" s="120"/>
      <c r="E82" s="120"/>
      <c r="F82" s="120"/>
      <c r="G82" s="120"/>
      <c r="H82" s="120"/>
      <c r="I82" s="120"/>
      <c r="J82" s="120"/>
      <c r="O82" s="236">
        <f>'Eingabe Annahmen'!F32*O98</f>
        <v>-0.90796460176991167</v>
      </c>
      <c r="P82" s="8" t="s">
        <v>669</v>
      </c>
      <c r="Q82" s="8"/>
      <c r="R82" s="8"/>
      <c r="S82" s="8"/>
      <c r="T82" s="8"/>
      <c r="U82" s="110"/>
      <c r="V82" s="99"/>
      <c r="W82" s="8"/>
      <c r="X82" s="8"/>
      <c r="AA82" s="238">
        <f>'Eingabe Annahmen'!G32*AA98</f>
        <v>-3.2046011626328328</v>
      </c>
      <c r="AB82" s="8" t="s">
        <v>669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4"/>
      <c r="AN82" s="236">
        <f>'Eingabe Annahmen'!F32*AN98</f>
        <v>-0.90796460176991145</v>
      </c>
      <c r="AO82" s="8" t="s">
        <v>669</v>
      </c>
      <c r="AP82" s="8"/>
      <c r="AQ82" s="8"/>
      <c r="AR82" s="8"/>
      <c r="AS82" s="8"/>
      <c r="AT82" s="110"/>
      <c r="AU82" s="99"/>
      <c r="AV82" s="8"/>
      <c r="AW82" s="8"/>
      <c r="AY82" s="4"/>
      <c r="AZ82" s="214"/>
      <c r="BA82" s="215">
        <f>'Eingabe Annahmen'!G32*AZ98</f>
        <v>-3.1274032497018895</v>
      </c>
      <c r="BB82" s="8" t="s">
        <v>669</v>
      </c>
      <c r="BC82" s="8"/>
      <c r="BD82" s="8"/>
      <c r="BE82" s="8"/>
      <c r="BF82" s="8"/>
      <c r="BG82" s="8"/>
      <c r="BH82" s="8"/>
      <c r="BI82" s="8"/>
      <c r="BJ82" s="8"/>
      <c r="BK82" s="8"/>
    </row>
    <row r="83" spans="1:63" x14ac:dyDescent="0.25">
      <c r="A83" s="4"/>
      <c r="U83" s="41"/>
      <c r="V83" s="40"/>
      <c r="AA83" s="216"/>
      <c r="AB83" s="217"/>
      <c r="AC83" s="44"/>
      <c r="AM83" s="4"/>
      <c r="AT83" s="41"/>
      <c r="AU83" s="40"/>
      <c r="AY83" s="4"/>
      <c r="AZ83" s="216"/>
      <c r="BA83" s="217"/>
      <c r="BB83" s="44"/>
    </row>
    <row r="84" spans="1:63" s="13" customFormat="1" x14ac:dyDescent="0.25">
      <c r="A84" s="42" t="s">
        <v>424</v>
      </c>
      <c r="B84" s="12"/>
      <c r="C84" s="124" t="s">
        <v>158</v>
      </c>
      <c r="O84" s="124" t="s">
        <v>52</v>
      </c>
      <c r="AA84" s="157" t="s">
        <v>53</v>
      </c>
      <c r="AM84" s="12"/>
      <c r="AN84" s="157" t="s">
        <v>54</v>
      </c>
      <c r="AY84" s="12"/>
      <c r="AZ84" s="157" t="s">
        <v>45</v>
      </c>
    </row>
    <row r="85" spans="1:63" s="16" customFormat="1" x14ac:dyDescent="0.25">
      <c r="A85" s="10"/>
      <c r="B85" s="10"/>
      <c r="C85" s="135"/>
      <c r="O85" s="135"/>
      <c r="AA85" s="130"/>
      <c r="AM85" s="10"/>
      <c r="AN85" s="135"/>
      <c r="AY85" s="10"/>
      <c r="AZ85" s="130"/>
    </row>
    <row r="86" spans="1:63" x14ac:dyDescent="0.25">
      <c r="A86" s="1002" t="s">
        <v>571</v>
      </c>
      <c r="B86" s="1002"/>
      <c r="O86" s="7" t="s">
        <v>523</v>
      </c>
      <c r="P86" s="8"/>
      <c r="Q86" s="8"/>
      <c r="R86" s="8"/>
      <c r="S86" s="106" t="s">
        <v>775</v>
      </c>
      <c r="T86" s="8"/>
      <c r="U86" s="8"/>
      <c r="V86" s="8"/>
      <c r="W86" s="8"/>
      <c r="X86" s="8"/>
      <c r="AA86" s="160" t="s">
        <v>471</v>
      </c>
      <c r="AB86" s="77"/>
      <c r="AC86" s="8"/>
      <c r="AD86" s="8"/>
      <c r="AE86" s="8"/>
      <c r="AF86" s="8"/>
      <c r="AG86" s="8"/>
      <c r="AH86" s="45" t="s">
        <v>485</v>
      </c>
      <c r="AI86" s="95"/>
      <c r="AJ86" s="95"/>
      <c r="AK86" s="95"/>
      <c r="AL86" s="95"/>
      <c r="AM86" s="113"/>
      <c r="AN86" s="7" t="s">
        <v>523</v>
      </c>
      <c r="AO86" s="8"/>
      <c r="AP86" s="8"/>
      <c r="AQ86" s="8"/>
      <c r="AR86" s="106" t="s">
        <v>775</v>
      </c>
      <c r="AS86" s="8"/>
      <c r="AT86" s="8"/>
      <c r="AU86" s="8"/>
      <c r="AV86" s="8"/>
      <c r="AW86" s="8"/>
      <c r="AY86" s="113"/>
      <c r="AZ86" s="160" t="s">
        <v>471</v>
      </c>
      <c r="BA86" s="77"/>
      <c r="BB86" s="8"/>
      <c r="BC86" s="8"/>
      <c r="BD86" s="8"/>
      <c r="BE86" s="8"/>
      <c r="BF86" s="8"/>
      <c r="BG86" s="45" t="s">
        <v>485</v>
      </c>
      <c r="BH86" s="95"/>
      <c r="BI86" s="95"/>
      <c r="BJ86" s="95"/>
      <c r="BK86" s="95"/>
    </row>
    <row r="87" spans="1:63" x14ac:dyDescent="0.25">
      <c r="A87" s="1000" t="s">
        <v>520</v>
      </c>
      <c r="B87" s="1000"/>
      <c r="C87" s="154" t="s">
        <v>583</v>
      </c>
      <c r="D87" s="114"/>
      <c r="E87" s="114"/>
      <c r="F87" s="114"/>
      <c r="G87" s="114"/>
      <c r="H87" s="114"/>
      <c r="I87" s="114"/>
      <c r="J87" s="114"/>
      <c r="O87" s="127" t="s">
        <v>395</v>
      </c>
      <c r="S87" s="94">
        <f>('Eingabe Annahmen'!$G$33+'Eingabe Annahmen'!$G$34)*365/1000</f>
        <v>0.54749999999999999</v>
      </c>
      <c r="T87" s="81" t="s">
        <v>714</v>
      </c>
      <c r="U87" s="22"/>
      <c r="V87" s="81" t="s">
        <v>822</v>
      </c>
      <c r="W87" s="4"/>
      <c r="X87" s="4"/>
      <c r="AA87" s="218">
        <f>'Eingabe Annahmen'!$G$34*365/1000</f>
        <v>0.36499999999999999</v>
      </c>
      <c r="AB87" s="219" t="s">
        <v>714</v>
      </c>
      <c r="AE87" s="20" t="s">
        <v>822</v>
      </c>
      <c r="AH87" s="93"/>
      <c r="AI87" s="100">
        <f>'Eingabe Annahmen'!$G$33*365/1000</f>
        <v>0.1825</v>
      </c>
      <c r="AJ87" s="81" t="s">
        <v>714</v>
      </c>
      <c r="AK87" s="22" t="s">
        <v>822</v>
      </c>
      <c r="AL87" s="100"/>
      <c r="AM87" s="100"/>
      <c r="AN87" s="127" t="s">
        <v>395</v>
      </c>
      <c r="AR87" s="94">
        <f>('Eingabe Annahmen'!$G$33+'Eingabe Annahmen'!$G$34)*365/1000</f>
        <v>0.54749999999999999</v>
      </c>
      <c r="AS87" s="81" t="s">
        <v>714</v>
      </c>
      <c r="AT87" s="22"/>
      <c r="AU87" s="81" t="s">
        <v>822</v>
      </c>
      <c r="AV87" s="4"/>
      <c r="AW87" s="4"/>
      <c r="AY87" s="100"/>
      <c r="AZ87" s="218">
        <f>'Eingabe Annahmen'!$G$34*365/1000</f>
        <v>0.36499999999999999</v>
      </c>
      <c r="BA87" s="219" t="s">
        <v>714</v>
      </c>
      <c r="BD87" s="20" t="s">
        <v>822</v>
      </c>
      <c r="BG87" s="93"/>
      <c r="BH87" s="100">
        <f>'Eingabe Annahmen'!$G$33*365/1000</f>
        <v>0.1825</v>
      </c>
      <c r="BI87" s="81" t="s">
        <v>714</v>
      </c>
      <c r="BJ87" s="22" t="s">
        <v>822</v>
      </c>
      <c r="BK87" s="100"/>
    </row>
    <row r="88" spans="1:63" x14ac:dyDescent="0.25">
      <c r="A88" s="999" t="s">
        <v>521</v>
      </c>
      <c r="B88" s="999"/>
      <c r="C88" s="155" t="s">
        <v>181</v>
      </c>
      <c r="D88" s="117"/>
      <c r="E88" s="117"/>
      <c r="F88" s="117"/>
      <c r="G88" s="117"/>
      <c r="H88" s="117"/>
      <c r="I88" s="117"/>
      <c r="J88" s="117"/>
      <c r="O88" s="145" t="s">
        <v>395</v>
      </c>
      <c r="S88" s="101">
        <f>S87*'Eingabe Eckdaten'!L42/1000</f>
        <v>246.375</v>
      </c>
      <c r="T88" s="81" t="s">
        <v>271</v>
      </c>
      <c r="U88" s="22"/>
      <c r="V88" s="22"/>
      <c r="W88" s="4"/>
      <c r="X88" s="4"/>
      <c r="AA88" s="193">
        <f>AA87*'Eingabe Eckdaten'!L63/1000</f>
        <v>164.25</v>
      </c>
      <c r="AB88" s="219" t="s">
        <v>347</v>
      </c>
      <c r="AE88" s="20"/>
      <c r="AH88" s="81"/>
      <c r="AI88" s="81">
        <f>'Eingabe Eckdaten'!L63*AI87/1000</f>
        <v>82.125</v>
      </c>
      <c r="AJ88" s="81" t="s">
        <v>347</v>
      </c>
      <c r="AK88" s="22"/>
      <c r="AL88" s="81"/>
      <c r="AM88" s="81"/>
      <c r="AN88" s="145" t="s">
        <v>395</v>
      </c>
      <c r="AR88" s="101">
        <f>AR87*'Interne Berechunung'!AX185/1000</f>
        <v>342.1875</v>
      </c>
      <c r="AS88" s="81" t="s">
        <v>271</v>
      </c>
      <c r="AT88" s="22"/>
      <c r="AU88" s="22"/>
      <c r="AV88" s="4"/>
      <c r="AW88" s="4"/>
      <c r="AY88" s="81"/>
      <c r="AZ88" s="193">
        <f>AZ87*'Interne Berechunung'!BJ185/1000</f>
        <v>228.125</v>
      </c>
      <c r="BA88" s="219" t="s">
        <v>347</v>
      </c>
      <c r="BD88" s="20"/>
      <c r="BG88" s="81"/>
      <c r="BH88" s="81">
        <f>'Interne Berechunung'!BJ185*BH87/1000</f>
        <v>114.0625</v>
      </c>
      <c r="BI88" s="81" t="s">
        <v>347</v>
      </c>
      <c r="BJ88" s="22"/>
      <c r="BK88" s="81"/>
    </row>
    <row r="89" spans="1:63" x14ac:dyDescent="0.25">
      <c r="A89" s="1006" t="s">
        <v>106</v>
      </c>
      <c r="B89" s="1006"/>
      <c r="C89" s="155"/>
      <c r="D89" s="117"/>
      <c r="E89" s="117"/>
      <c r="F89" s="117"/>
      <c r="G89" s="117"/>
      <c r="H89" s="117"/>
      <c r="I89" s="117"/>
      <c r="J89" s="117"/>
      <c r="O89" s="145" t="s">
        <v>395</v>
      </c>
      <c r="S89" s="101">
        <v>85</v>
      </c>
      <c r="T89" s="81" t="s">
        <v>426</v>
      </c>
      <c r="U89" s="22"/>
      <c r="V89" s="22"/>
      <c r="W89" s="4"/>
      <c r="X89" s="4"/>
      <c r="AB89" s="208" t="s">
        <v>337</v>
      </c>
      <c r="AE89" s="20" t="s">
        <v>822</v>
      </c>
      <c r="AH89" s="81"/>
      <c r="AI89" s="100">
        <v>0.85</v>
      </c>
      <c r="AJ89" s="81" t="s">
        <v>486</v>
      </c>
      <c r="AK89" s="22" t="s">
        <v>459</v>
      </c>
      <c r="AL89" s="100"/>
      <c r="AM89" s="100"/>
      <c r="AN89" s="145" t="s">
        <v>395</v>
      </c>
      <c r="AR89" s="101">
        <v>85</v>
      </c>
      <c r="AS89" s="81" t="s">
        <v>426</v>
      </c>
      <c r="AT89" s="22"/>
      <c r="AU89" s="22"/>
      <c r="AV89" s="4"/>
      <c r="AW89" s="4"/>
      <c r="AY89" s="100"/>
      <c r="AZ89" s="190"/>
      <c r="BA89" s="208" t="s">
        <v>337</v>
      </c>
      <c r="BD89" s="20" t="s">
        <v>822</v>
      </c>
      <c r="BG89" s="81"/>
      <c r="BH89" s="100">
        <v>0.85</v>
      </c>
      <c r="BI89" s="81" t="s">
        <v>486</v>
      </c>
      <c r="BJ89" s="22" t="s">
        <v>459</v>
      </c>
      <c r="BK89" s="100"/>
    </row>
    <row r="90" spans="1:63" x14ac:dyDescent="0.25">
      <c r="A90" s="999" t="s">
        <v>482</v>
      </c>
      <c r="B90" s="999"/>
      <c r="C90" s="155"/>
      <c r="D90" s="117"/>
      <c r="E90" s="117"/>
      <c r="F90" s="117"/>
      <c r="G90" s="117"/>
      <c r="H90" s="117"/>
      <c r="I90" s="117"/>
      <c r="J90" s="117"/>
      <c r="O90" s="145" t="s">
        <v>395</v>
      </c>
      <c r="S90" s="101">
        <f>S88*S89/100</f>
        <v>209.41874999999999</v>
      </c>
      <c r="T90" s="81" t="s">
        <v>142</v>
      </c>
      <c r="U90" s="104"/>
      <c r="V90" s="22"/>
      <c r="W90" s="4"/>
      <c r="X90" s="4"/>
      <c r="AA90" s="193">
        <f>AA88*'Eingabe Annahmen'!G36</f>
        <v>147.82500000000002</v>
      </c>
      <c r="AB90" s="219" t="s">
        <v>347</v>
      </c>
      <c r="AE90" s="20"/>
      <c r="AH90" s="81"/>
      <c r="AI90" s="100">
        <f>AI88*AI89</f>
        <v>69.806249999999991</v>
      </c>
      <c r="AJ90" s="81" t="s">
        <v>565</v>
      </c>
      <c r="AK90" s="22"/>
      <c r="AL90" s="100"/>
      <c r="AM90" s="100"/>
      <c r="AN90" s="145" t="s">
        <v>395</v>
      </c>
      <c r="AR90" s="101">
        <f>AR88*AR89/100</f>
        <v>290.859375</v>
      </c>
      <c r="AS90" s="81" t="s">
        <v>142</v>
      </c>
      <c r="AT90" s="104"/>
      <c r="AU90" s="22"/>
      <c r="AV90" s="4"/>
      <c r="AW90" s="4"/>
      <c r="AY90" s="100"/>
      <c r="AZ90" s="193">
        <f>AZ88*'Eingabe Annahmen'!G36</f>
        <v>205.3125</v>
      </c>
      <c r="BA90" s="219" t="s">
        <v>347</v>
      </c>
      <c r="BD90" s="20"/>
      <c r="BG90" s="81"/>
      <c r="BH90" s="100">
        <f>BH88*BH89</f>
        <v>96.953125</v>
      </c>
      <c r="BI90" s="81" t="s">
        <v>565</v>
      </c>
      <c r="BJ90" s="22"/>
      <c r="BK90" s="100"/>
    </row>
    <row r="91" spans="1:63" x14ac:dyDescent="0.25">
      <c r="A91" s="1002" t="s">
        <v>425</v>
      </c>
      <c r="B91" s="1002"/>
      <c r="C91" s="156"/>
      <c r="D91" s="120"/>
      <c r="E91" s="120"/>
      <c r="F91" s="120"/>
      <c r="G91" s="120"/>
      <c r="H91" s="120"/>
      <c r="I91" s="120"/>
      <c r="J91" s="120"/>
      <c r="O91" s="189">
        <f>O73/R18*1000</f>
        <v>0.11637774275669778</v>
      </c>
      <c r="P91" s="72" t="s">
        <v>288</v>
      </c>
      <c r="Q91" s="8"/>
      <c r="R91" s="84"/>
      <c r="S91" s="105">
        <f>S90/R18*1000</f>
        <v>0.22566371681415928</v>
      </c>
      <c r="T91" s="96" t="s">
        <v>427</v>
      </c>
      <c r="U91" s="21"/>
      <c r="V91" s="21"/>
      <c r="W91" s="8"/>
      <c r="X91" s="8"/>
      <c r="AA91" s="189">
        <f>AA90/AD20*1000</f>
        <v>8.1088086099008944E-2</v>
      </c>
      <c r="AB91" s="207" t="s">
        <v>349</v>
      </c>
      <c r="AC91" s="8"/>
      <c r="AD91" s="8"/>
      <c r="AE91" s="84" t="s">
        <v>822</v>
      </c>
      <c r="AF91" s="8"/>
      <c r="AG91" s="8"/>
      <c r="AH91" s="96"/>
      <c r="AI91" s="102">
        <f>AI90/AD20*1000</f>
        <v>3.8291596213420875E-2</v>
      </c>
      <c r="AJ91" s="103" t="s">
        <v>427</v>
      </c>
      <c r="AK91" s="21"/>
      <c r="AL91" s="102"/>
      <c r="AM91" s="123"/>
      <c r="AN91" s="189">
        <f>AN73/AQ18*1000</f>
        <v>0.11637774275669778</v>
      </c>
      <c r="AO91" s="72" t="s">
        <v>288</v>
      </c>
      <c r="AP91" s="8"/>
      <c r="AQ91" s="84"/>
      <c r="AR91" s="105">
        <f>AR90/AQ18*1000</f>
        <v>0.22566371681415931</v>
      </c>
      <c r="AS91" s="96" t="s">
        <v>427</v>
      </c>
      <c r="AT91" s="21"/>
      <c r="AU91" s="21"/>
      <c r="AV91" s="8"/>
      <c r="AW91" s="8"/>
      <c r="AY91" s="123"/>
      <c r="AZ91" s="195">
        <f>AZ90/BC20*1000</f>
        <v>7.9134697613914215E-2</v>
      </c>
      <c r="BA91" s="207" t="s">
        <v>349</v>
      </c>
      <c r="BB91" s="8"/>
      <c r="BC91" s="8"/>
      <c r="BD91" s="84" t="s">
        <v>822</v>
      </c>
      <c r="BE91" s="8"/>
      <c r="BF91" s="8"/>
      <c r="BG91" s="96"/>
      <c r="BH91" s="102">
        <f>BH90/BC20*1000</f>
        <v>3.7369162762126158E-2</v>
      </c>
      <c r="BI91" s="103" t="s">
        <v>427</v>
      </c>
      <c r="BJ91" s="21"/>
      <c r="BK91" s="102"/>
    </row>
    <row r="92" spans="1:63" x14ac:dyDescent="0.25">
      <c r="A92" s="19"/>
      <c r="B92" s="19"/>
      <c r="O92" s="190"/>
      <c r="P92" s="70"/>
      <c r="Q92" s="82"/>
      <c r="R92" s="4"/>
      <c r="S92" s="4"/>
      <c r="T92" s="4"/>
      <c r="AA92" s="205"/>
      <c r="AB92" s="220"/>
      <c r="AC92" s="31"/>
      <c r="AM92" s="4"/>
      <c r="AN92" s="190"/>
      <c r="AO92" s="70"/>
      <c r="AP92" s="82"/>
      <c r="AQ92" s="4"/>
      <c r="AR92" s="4"/>
      <c r="AS92" s="4"/>
      <c r="AY92" s="4"/>
      <c r="AZ92" s="205"/>
      <c r="BA92" s="220"/>
      <c r="BB92" s="31"/>
    </row>
    <row r="93" spans="1:63" x14ac:dyDescent="0.25">
      <c r="A93" s="1002" t="s">
        <v>572</v>
      </c>
      <c r="B93" s="1002"/>
      <c r="O93" s="288" t="s">
        <v>409</v>
      </c>
      <c r="P93" s="30"/>
      <c r="Q93" s="31"/>
      <c r="AA93" s="153" t="s">
        <v>577</v>
      </c>
      <c r="AB93" s="80"/>
      <c r="AC93" s="67"/>
      <c r="AD93" s="67"/>
      <c r="AE93" s="67"/>
      <c r="AF93" s="86"/>
      <c r="AG93" s="86"/>
      <c r="AJ93" s="8"/>
      <c r="AK93" s="8"/>
      <c r="AL93" s="8"/>
      <c r="AM93" s="4"/>
      <c r="AN93" s="191" t="s">
        <v>409</v>
      </c>
      <c r="AO93" s="30"/>
      <c r="AP93" s="31"/>
      <c r="AY93" s="4"/>
      <c r="AZ93" s="153" t="s">
        <v>577</v>
      </c>
      <c r="BA93" s="80"/>
      <c r="BB93" s="67"/>
      <c r="BC93" s="67"/>
      <c r="BD93" s="67"/>
      <c r="BE93" s="86"/>
      <c r="BF93" s="86"/>
      <c r="BI93" s="8"/>
      <c r="BJ93" s="8"/>
      <c r="BK93" s="8"/>
    </row>
    <row r="94" spans="1:63" x14ac:dyDescent="0.25">
      <c r="A94" s="1000" t="s">
        <v>145</v>
      </c>
      <c r="B94" s="1000"/>
      <c r="C94" s="154" t="s">
        <v>403</v>
      </c>
      <c r="D94" s="114"/>
      <c r="E94" s="114"/>
      <c r="F94" s="114"/>
      <c r="G94" s="114"/>
      <c r="H94" s="114"/>
      <c r="I94" s="114"/>
      <c r="J94" s="114"/>
      <c r="P94" s="69"/>
      <c r="Q94" s="62"/>
      <c r="R94" s="59"/>
      <c r="S94" s="3"/>
      <c r="T94" s="3"/>
      <c r="U94" s="3"/>
      <c r="V94" s="3"/>
      <c r="W94" s="3"/>
      <c r="X94" s="3"/>
      <c r="AA94" s="137">
        <f>'Eingabe Annahmen'!$G$37*365/1000</f>
        <v>3.7959999999999998</v>
      </c>
      <c r="AB94" s="31" t="s">
        <v>123</v>
      </c>
      <c r="AC94" s="27"/>
      <c r="AE94" s="20"/>
      <c r="AF94" s="20"/>
      <c r="AH94" s="3"/>
      <c r="AI94" s="3"/>
      <c r="AJ94" s="4"/>
      <c r="AK94" s="4"/>
      <c r="AL94" s="4"/>
      <c r="AM94" s="4"/>
      <c r="AN94" s="192"/>
      <c r="AO94" s="69"/>
      <c r="AP94" s="62"/>
      <c r="AQ94" s="59"/>
      <c r="AR94" s="3"/>
      <c r="AS94" s="3"/>
      <c r="AT94" s="3"/>
      <c r="AU94" s="3"/>
      <c r="AV94" s="3"/>
      <c r="AW94" s="3"/>
      <c r="AY94" s="4"/>
      <c r="AZ94" s="137">
        <f>'Eingabe Annahmen'!$G$37*365/1000</f>
        <v>3.7959999999999998</v>
      </c>
      <c r="BA94" s="31" t="s">
        <v>123</v>
      </c>
      <c r="BB94" s="27"/>
      <c r="BD94" s="20"/>
      <c r="BE94" s="20"/>
      <c r="BG94" s="3"/>
      <c r="BH94" s="3"/>
      <c r="BI94" s="4"/>
      <c r="BJ94" s="4"/>
      <c r="BK94" s="4"/>
    </row>
    <row r="95" spans="1:63" x14ac:dyDescent="0.25">
      <c r="A95" s="999" t="s">
        <v>289</v>
      </c>
      <c r="B95" s="999"/>
      <c r="C95" s="155" t="s">
        <v>302</v>
      </c>
      <c r="D95" s="117"/>
      <c r="E95" s="117"/>
      <c r="F95" s="117"/>
      <c r="G95" s="117"/>
      <c r="H95" s="117"/>
      <c r="I95" s="117"/>
      <c r="J95" s="117"/>
      <c r="O95" s="193">
        <f>'Eingabe Annahmen'!F37*'Eingabe Eckdaten'!L42/1000000*365</f>
        <v>246.37500000000003</v>
      </c>
      <c r="P95" s="70" t="s">
        <v>140</v>
      </c>
      <c r="Q95" s="37"/>
      <c r="R95" s="37"/>
      <c r="S95" s="4"/>
      <c r="T95" s="4"/>
      <c r="U95" s="4"/>
      <c r="V95" s="4"/>
      <c r="W95" s="4"/>
      <c r="X95" s="4"/>
      <c r="AA95" s="134">
        <f>AA94*'Eingabe Eckdaten'!L63/1000</f>
        <v>1708.2</v>
      </c>
      <c r="AB95" s="31" t="s">
        <v>140</v>
      </c>
      <c r="AC95" s="27"/>
      <c r="AD95" s="27"/>
      <c r="AH95" s="4"/>
      <c r="AI95" s="4"/>
      <c r="AJ95" s="4"/>
      <c r="AK95" s="4"/>
      <c r="AL95" s="4"/>
      <c r="AM95" s="4"/>
      <c r="AN95" s="193">
        <f>'Eingabe Annahmen'!F37*'Interne Berechunung'!AX185/1000000*365</f>
        <v>342.1875</v>
      </c>
      <c r="AO95" s="70" t="s">
        <v>140</v>
      </c>
      <c r="AP95" s="37"/>
      <c r="AQ95" s="37"/>
      <c r="AR95" s="4"/>
      <c r="AS95" s="4"/>
      <c r="AT95" s="4"/>
      <c r="AU95" s="4"/>
      <c r="AV95" s="4"/>
      <c r="AW95" s="4"/>
      <c r="AY95" s="4"/>
      <c r="AZ95" s="134">
        <f>AZ94*'Interne Berechunung'!BJ185/1000</f>
        <v>2372.5</v>
      </c>
      <c r="BA95" s="31" t="s">
        <v>140</v>
      </c>
      <c r="BB95" s="27"/>
      <c r="BC95" s="27"/>
      <c r="BG95" s="4"/>
      <c r="BH95" s="4"/>
      <c r="BI95" s="4"/>
      <c r="BJ95" s="4"/>
      <c r="BK95" s="4"/>
    </row>
    <row r="96" spans="1:63" x14ac:dyDescent="0.25">
      <c r="A96" s="1006" t="s">
        <v>106</v>
      </c>
      <c r="B96" s="1006"/>
      <c r="C96" s="155"/>
      <c r="D96" s="117"/>
      <c r="E96" s="117"/>
      <c r="F96" s="117"/>
      <c r="G96" s="117"/>
      <c r="H96" s="117"/>
      <c r="I96" s="117"/>
      <c r="J96" s="117"/>
      <c r="P96" s="83"/>
      <c r="R96" s="60"/>
      <c r="S96" s="60"/>
      <c r="T96" s="4"/>
      <c r="U96" s="4"/>
      <c r="V96" s="4"/>
      <c r="W96" s="4"/>
      <c r="X96" s="4"/>
      <c r="AB96" s="36"/>
      <c r="AE96" s="20"/>
      <c r="AF96" s="20"/>
      <c r="AH96" s="4"/>
      <c r="AI96" s="4"/>
      <c r="AJ96" s="4"/>
      <c r="AK96" s="4"/>
      <c r="AL96" s="4"/>
      <c r="AM96" s="4"/>
      <c r="AN96" s="194"/>
      <c r="AO96" s="83"/>
      <c r="AQ96" s="60"/>
      <c r="AR96" s="60"/>
      <c r="AS96" s="4"/>
      <c r="AT96" s="4"/>
      <c r="AU96" s="4"/>
      <c r="AV96" s="4"/>
      <c r="AW96" s="4"/>
      <c r="AY96" s="4"/>
      <c r="AZ96" s="140"/>
      <c r="BA96" s="36" t="s">
        <v>395</v>
      </c>
      <c r="BB96" t="s">
        <v>726</v>
      </c>
      <c r="BD96" s="20" t="s">
        <v>822</v>
      </c>
      <c r="BE96" s="20"/>
      <c r="BG96" s="4"/>
      <c r="BH96" s="4"/>
      <c r="BI96" s="4"/>
      <c r="BJ96" s="4"/>
      <c r="BK96" s="4"/>
    </row>
    <row r="97" spans="1:63" x14ac:dyDescent="0.25">
      <c r="A97" s="999" t="s">
        <v>402</v>
      </c>
      <c r="B97" s="999"/>
      <c r="C97" s="155"/>
      <c r="D97" s="117"/>
      <c r="E97" s="117"/>
      <c r="F97" s="117"/>
      <c r="G97" s="117"/>
      <c r="H97" s="117"/>
      <c r="I97" s="117"/>
      <c r="J97" s="117"/>
      <c r="O97" s="190">
        <f>O95*'Eingabe Annahmen'!F38</f>
        <v>221.73750000000004</v>
      </c>
      <c r="P97" s="70" t="s">
        <v>140</v>
      </c>
      <c r="Q97" s="37"/>
      <c r="R97" s="37"/>
      <c r="S97" s="4"/>
      <c r="T97" s="4"/>
      <c r="U97" s="4"/>
      <c r="V97" s="4"/>
      <c r="W97" s="4"/>
      <c r="X97" s="4"/>
      <c r="AA97" s="134">
        <f>'Eingabe Annahmen'!G38*AA95</f>
        <v>1537.38</v>
      </c>
      <c r="AB97" s="31" t="s">
        <v>140</v>
      </c>
      <c r="AC97" s="27"/>
      <c r="AD97" s="27"/>
      <c r="AH97" s="4"/>
      <c r="AI97" s="4"/>
      <c r="AJ97" s="4"/>
      <c r="AK97" s="4"/>
      <c r="AL97" s="4"/>
      <c r="AM97" s="4"/>
      <c r="AN97" s="190">
        <f>AN95*'Eingabe Annahmen'!F38</f>
        <v>307.96875</v>
      </c>
      <c r="AO97" s="70" t="s">
        <v>140</v>
      </c>
      <c r="AP97" s="37"/>
      <c r="AQ97" s="37"/>
      <c r="AR97" s="4"/>
      <c r="AS97" s="4"/>
      <c r="AT97" s="4"/>
      <c r="AU97" s="4"/>
      <c r="AV97" s="4"/>
      <c r="AW97" s="4"/>
      <c r="AY97" s="4"/>
      <c r="AZ97" s="134">
        <f>'Eingabe Annahmen'!G38*AZ95</f>
        <v>2135.25</v>
      </c>
      <c r="BA97" s="31" t="s">
        <v>140</v>
      </c>
      <c r="BB97" s="27"/>
      <c r="BC97" s="27"/>
      <c r="BG97" s="4"/>
      <c r="BH97" s="4"/>
      <c r="BI97" s="4"/>
      <c r="BJ97" s="4"/>
      <c r="BK97" s="4"/>
    </row>
    <row r="98" spans="1:63" x14ac:dyDescent="0.25">
      <c r="A98" s="1002" t="s">
        <v>428</v>
      </c>
      <c r="B98" s="1002"/>
      <c r="C98" s="156"/>
      <c r="D98" s="120"/>
      <c r="E98" s="120"/>
      <c r="F98" s="120"/>
      <c r="G98" s="120"/>
      <c r="H98" s="120"/>
      <c r="I98" s="120"/>
      <c r="J98" s="120"/>
      <c r="O98" s="286">
        <f>O97/R18*1000</f>
        <v>0.2389380530973452</v>
      </c>
      <c r="P98" s="72" t="s">
        <v>210</v>
      </c>
      <c r="Q98" s="67"/>
      <c r="R98" s="67"/>
      <c r="S98" s="8"/>
      <c r="T98" s="8"/>
      <c r="U98" s="8"/>
      <c r="V98" s="8"/>
      <c r="W98" s="8"/>
      <c r="X98" s="8"/>
      <c r="AA98" s="189">
        <f>AA97/AD20*1000</f>
        <v>0.84331609542969288</v>
      </c>
      <c r="AB98" s="72" t="s">
        <v>141</v>
      </c>
      <c r="AC98" s="72"/>
      <c r="AD98" s="67"/>
      <c r="AE98" s="67"/>
      <c r="AF98" s="8"/>
      <c r="AG98" s="8"/>
      <c r="AH98" s="8"/>
      <c r="AI98" s="8"/>
      <c r="AJ98" s="8"/>
      <c r="AK98" s="8"/>
      <c r="AL98" s="8"/>
      <c r="AM98" s="4"/>
      <c r="AN98" s="286">
        <f>AN97/AQ18*1000</f>
        <v>0.23893805309734514</v>
      </c>
      <c r="AO98" s="72" t="s">
        <v>210</v>
      </c>
      <c r="AP98" s="67"/>
      <c r="AQ98" s="67"/>
      <c r="AR98" s="8"/>
      <c r="AS98" s="8"/>
      <c r="AT98" s="8"/>
      <c r="AU98" s="8"/>
      <c r="AV98" s="8"/>
      <c r="AW98" s="8"/>
      <c r="AY98" s="4"/>
      <c r="AZ98" s="287">
        <f>AZ97/BC20*1000</f>
        <v>0.82300085518470778</v>
      </c>
      <c r="BA98" s="72" t="s">
        <v>141</v>
      </c>
      <c r="BB98" s="72"/>
      <c r="BC98" s="67"/>
      <c r="BD98" s="67"/>
      <c r="BE98" s="8"/>
      <c r="BF98" s="8"/>
      <c r="BG98" s="8"/>
      <c r="BH98" s="8"/>
      <c r="BI98" s="8"/>
      <c r="BJ98" s="8"/>
      <c r="BK98" s="8"/>
    </row>
    <row r="99" spans="1:63" x14ac:dyDescent="0.25">
      <c r="A99" s="303"/>
      <c r="B99" s="303"/>
      <c r="C99" s="155"/>
      <c r="D99" s="117"/>
      <c r="E99" s="117"/>
      <c r="F99" s="117"/>
      <c r="G99" s="117"/>
      <c r="H99" s="117"/>
      <c r="I99" s="117"/>
      <c r="J99" s="117"/>
      <c r="O99" s="190"/>
      <c r="P99" s="70"/>
      <c r="Q99" s="37"/>
      <c r="R99" s="37"/>
      <c r="S99" s="4"/>
      <c r="T99" s="4"/>
      <c r="U99" s="4"/>
      <c r="V99" s="4"/>
      <c r="W99" s="4"/>
      <c r="X99" s="4"/>
      <c r="AA99" s="190"/>
      <c r="AB99" s="70"/>
      <c r="AC99" s="70"/>
      <c r="AD99" s="37"/>
      <c r="AE99" s="37"/>
      <c r="AF99" s="4"/>
      <c r="AG99" s="4"/>
      <c r="AH99" s="4"/>
      <c r="AI99" s="4"/>
      <c r="AJ99" s="4"/>
      <c r="AK99" s="4"/>
      <c r="AL99" s="4"/>
      <c r="AM99" s="4"/>
      <c r="AN99" s="190"/>
      <c r="AO99" s="70"/>
      <c r="AP99" s="37"/>
      <c r="AQ99" s="37"/>
      <c r="AR99" s="4"/>
      <c r="AS99" s="4"/>
      <c r="AT99" s="4"/>
      <c r="AU99" s="4"/>
      <c r="AV99" s="4"/>
      <c r="AW99" s="4"/>
      <c r="AY99" s="4"/>
      <c r="AZ99" s="308"/>
      <c r="BA99" s="70"/>
      <c r="BB99" s="70"/>
      <c r="BC99" s="37"/>
      <c r="BD99" s="37"/>
      <c r="BE99" s="4"/>
      <c r="BF99" s="4"/>
      <c r="BG99" s="4"/>
      <c r="BH99" s="4"/>
      <c r="BI99" s="4"/>
      <c r="BJ99" s="4"/>
      <c r="BK99" s="4"/>
    </row>
    <row r="100" spans="1:63" x14ac:dyDescent="0.25">
      <c r="A100" s="999" t="s">
        <v>88</v>
      </c>
      <c r="B100" s="999"/>
      <c r="C100" s="155"/>
      <c r="D100" s="117"/>
      <c r="E100" s="117"/>
      <c r="F100" s="117"/>
      <c r="G100" s="117"/>
      <c r="H100" s="117"/>
      <c r="I100" s="117"/>
      <c r="J100" s="117"/>
      <c r="O100" s="190"/>
      <c r="P100" s="70"/>
      <c r="Q100" s="37"/>
      <c r="R100" s="37"/>
      <c r="S100" s="4"/>
      <c r="T100" s="4"/>
      <c r="U100" s="4"/>
      <c r="V100" s="4"/>
      <c r="W100" s="4"/>
      <c r="X100" s="4"/>
      <c r="AA100" s="190"/>
      <c r="AB100" s="70"/>
      <c r="AC100" s="70"/>
      <c r="AD100" s="37"/>
      <c r="AE100" s="37"/>
      <c r="AF100" s="4"/>
      <c r="AG100" s="4"/>
      <c r="AH100" s="4"/>
      <c r="AI100" s="4"/>
      <c r="AJ100" s="4"/>
      <c r="AK100" s="4"/>
      <c r="AL100" s="4"/>
      <c r="AM100" s="4"/>
      <c r="AN100" s="190"/>
      <c r="AO100" s="70"/>
      <c r="AP100" s="37"/>
      <c r="AQ100" s="37"/>
      <c r="AR100" s="4"/>
      <c r="AS100" s="4"/>
      <c r="AT100" s="4"/>
      <c r="AU100" s="4"/>
      <c r="AV100" s="4"/>
      <c r="AW100" s="4"/>
      <c r="AY100" s="4"/>
      <c r="AZ100" s="308"/>
      <c r="BA100" s="70"/>
      <c r="BB100" s="70"/>
      <c r="BC100" s="37"/>
      <c r="BD100" s="37"/>
      <c r="BE100" s="4"/>
      <c r="BF100" s="4"/>
      <c r="BG100" s="4"/>
      <c r="BH100" s="4"/>
      <c r="BI100" s="4"/>
      <c r="BJ100" s="4"/>
      <c r="BK100" s="4"/>
    </row>
    <row r="101" spans="1:63" x14ac:dyDescent="0.25">
      <c r="A101" s="1000" t="s">
        <v>89</v>
      </c>
      <c r="B101" s="1000"/>
      <c r="C101" s="154" t="s">
        <v>182</v>
      </c>
      <c r="D101" s="114"/>
      <c r="E101" s="114"/>
      <c r="F101" s="114"/>
      <c r="G101" s="114"/>
      <c r="H101" s="114"/>
      <c r="I101" s="114"/>
      <c r="J101" s="114"/>
      <c r="O101" s="310">
        <v>4.4000000000000004</v>
      </c>
      <c r="P101" s="312" t="s">
        <v>463</v>
      </c>
      <c r="Q101" s="62"/>
      <c r="R101" s="62"/>
      <c r="S101" s="3"/>
      <c r="T101" s="3"/>
      <c r="U101" s="3"/>
      <c r="V101" s="3"/>
      <c r="W101" s="3"/>
      <c r="X101" s="3"/>
      <c r="AA101" s="316">
        <v>4.4000000000000004</v>
      </c>
      <c r="AB101" s="312" t="s">
        <v>463</v>
      </c>
      <c r="AC101" s="69"/>
      <c r="AD101" s="62"/>
      <c r="AE101" s="62"/>
      <c r="AF101" s="3"/>
      <c r="AG101" s="3"/>
      <c r="AH101" s="3"/>
      <c r="AI101" s="3"/>
      <c r="AJ101" s="3"/>
      <c r="AK101" s="3"/>
      <c r="AL101" s="3"/>
      <c r="AM101" s="4"/>
      <c r="AN101" s="309">
        <f>O101</f>
        <v>4.4000000000000004</v>
      </c>
      <c r="AO101" s="314" t="s">
        <v>183</v>
      </c>
      <c r="AP101" s="62"/>
      <c r="AQ101" s="62"/>
      <c r="AR101" s="3"/>
      <c r="AS101" s="3"/>
      <c r="AT101" s="3"/>
      <c r="AU101" s="3"/>
      <c r="AV101" s="3"/>
      <c r="AW101" s="3"/>
      <c r="AY101" s="4"/>
      <c r="AZ101" s="192">
        <f>AA101</f>
        <v>4.4000000000000004</v>
      </c>
      <c r="BA101" s="314" t="s">
        <v>183</v>
      </c>
      <c r="BB101" s="69"/>
      <c r="BC101" s="62"/>
      <c r="BD101" s="62"/>
      <c r="BE101" s="3"/>
      <c r="BF101" s="3"/>
      <c r="BG101" s="3"/>
      <c r="BH101" s="3"/>
      <c r="BI101" s="3"/>
      <c r="BJ101" s="3"/>
      <c r="BK101" s="3"/>
    </row>
    <row r="102" spans="1:63" x14ac:dyDescent="0.25">
      <c r="A102" s="1002" t="s">
        <v>90</v>
      </c>
      <c r="B102" s="1002"/>
      <c r="C102" s="156"/>
      <c r="D102" s="120"/>
      <c r="E102" s="120"/>
      <c r="F102" s="120"/>
      <c r="G102" s="120"/>
      <c r="H102" s="120"/>
      <c r="I102" s="120"/>
      <c r="J102" s="120"/>
      <c r="O102" s="311">
        <v>12</v>
      </c>
      <c r="P102" s="313" t="s">
        <v>567</v>
      </c>
      <c r="Q102" s="67"/>
      <c r="R102" s="67"/>
      <c r="S102" s="8"/>
      <c r="T102" s="8"/>
      <c r="U102" s="8"/>
      <c r="V102" s="8"/>
      <c r="W102" s="8"/>
      <c r="X102" s="8"/>
      <c r="AA102" s="317">
        <v>12</v>
      </c>
      <c r="AB102" s="313" t="s">
        <v>567</v>
      </c>
      <c r="AC102" s="72"/>
      <c r="AD102" s="67"/>
      <c r="AE102" s="67"/>
      <c r="AF102" s="8"/>
      <c r="AG102" s="8"/>
      <c r="AH102" s="8"/>
      <c r="AI102" s="8"/>
      <c r="AJ102" s="8"/>
      <c r="AK102" s="8"/>
      <c r="AL102" s="8"/>
      <c r="AM102" s="4"/>
      <c r="AN102" s="286">
        <f>O102</f>
        <v>12</v>
      </c>
      <c r="AO102" s="315" t="s">
        <v>184</v>
      </c>
      <c r="AP102" s="67"/>
      <c r="AQ102" s="67"/>
      <c r="AR102" s="8"/>
      <c r="AS102" s="8"/>
      <c r="AT102" s="8"/>
      <c r="AU102" s="8"/>
      <c r="AV102" s="8"/>
      <c r="AW102" s="8"/>
      <c r="AY102" s="4"/>
      <c r="AZ102" s="287">
        <f>AA102</f>
        <v>12</v>
      </c>
      <c r="BA102" s="315" t="s">
        <v>184</v>
      </c>
      <c r="BB102" s="72"/>
      <c r="BC102" s="67"/>
      <c r="BD102" s="67"/>
      <c r="BE102" s="8"/>
      <c r="BF102" s="8"/>
      <c r="BG102" s="8"/>
      <c r="BH102" s="8"/>
      <c r="BI102" s="8"/>
      <c r="BJ102" s="8"/>
      <c r="BK102" s="8"/>
    </row>
    <row r="103" spans="1:63" x14ac:dyDescent="0.25">
      <c r="O103" s="130"/>
      <c r="AA103" s="205"/>
      <c r="AB103" s="35"/>
      <c r="AC103" s="31"/>
      <c r="AD103" s="27"/>
      <c r="AE103" s="20"/>
      <c r="AM103" s="4"/>
      <c r="AN103" s="130"/>
      <c r="AY103" s="4"/>
      <c r="AZ103" s="205"/>
      <c r="BA103" s="35"/>
      <c r="BB103" s="31"/>
      <c r="BC103" s="27"/>
      <c r="BD103" s="20"/>
    </row>
    <row r="104" spans="1:63" s="13" customFormat="1" x14ac:dyDescent="0.25">
      <c r="A104" s="42" t="s">
        <v>528</v>
      </c>
      <c r="B104" s="12"/>
      <c r="C104" s="124" t="s">
        <v>158</v>
      </c>
      <c r="O104" s="124" t="s">
        <v>0</v>
      </c>
      <c r="AA104" s="157" t="s">
        <v>53</v>
      </c>
      <c r="AM104" s="12"/>
      <c r="AN104" s="157" t="s">
        <v>54</v>
      </c>
      <c r="AY104" s="12"/>
      <c r="AZ104" s="157" t="s">
        <v>45</v>
      </c>
    </row>
    <row r="105" spans="1:63" x14ac:dyDescent="0.25">
      <c r="A105" s="4"/>
      <c r="AA105" s="130"/>
      <c r="AM105" s="4"/>
      <c r="AY105" s="4"/>
      <c r="AZ105" s="130"/>
    </row>
    <row r="106" spans="1:63" x14ac:dyDescent="0.25">
      <c r="A106" s="1002" t="s">
        <v>579</v>
      </c>
      <c r="B106" s="1002"/>
      <c r="C106" s="26" t="s">
        <v>458</v>
      </c>
      <c r="O106" s="147" t="s">
        <v>580</v>
      </c>
      <c r="P106" s="8"/>
      <c r="Q106" s="8"/>
      <c r="R106" s="84" t="s">
        <v>459</v>
      </c>
      <c r="S106" s="8"/>
      <c r="T106" s="8" t="s">
        <v>62</v>
      </c>
      <c r="U106" s="8"/>
      <c r="V106" s="8"/>
      <c r="AA106" s="160" t="s">
        <v>350</v>
      </c>
      <c r="AB106" s="8"/>
      <c r="AD106" s="8"/>
      <c r="AJ106" s="8"/>
      <c r="AK106" s="8"/>
      <c r="AL106" s="8"/>
      <c r="AM106" s="4"/>
      <c r="AN106" s="147" t="s">
        <v>580</v>
      </c>
      <c r="AO106" s="8"/>
      <c r="AP106" s="8"/>
      <c r="AQ106" s="84" t="s">
        <v>459</v>
      </c>
      <c r="AR106" s="8"/>
      <c r="AS106" s="8" t="s">
        <v>62</v>
      </c>
      <c r="AT106" s="8"/>
      <c r="AU106" s="8"/>
      <c r="AY106" s="4"/>
      <c r="AZ106" s="160" t="s">
        <v>350</v>
      </c>
      <c r="BA106" s="8"/>
      <c r="BC106" s="8"/>
      <c r="BI106" s="8"/>
      <c r="BJ106" s="8"/>
      <c r="BK106" s="8"/>
    </row>
    <row r="107" spans="1:63" x14ac:dyDescent="0.25">
      <c r="A107" s="1000" t="s">
        <v>524</v>
      </c>
      <c r="B107" s="1000"/>
      <c r="C107" s="154" t="s">
        <v>677</v>
      </c>
      <c r="D107" s="114"/>
      <c r="E107" s="114"/>
      <c r="F107" s="114"/>
      <c r="G107" s="114"/>
      <c r="H107" s="114"/>
      <c r="I107" s="114"/>
      <c r="J107" s="114"/>
      <c r="O107" s="26">
        <v>2.15</v>
      </c>
      <c r="P107" t="s">
        <v>839</v>
      </c>
      <c r="R107" s="20"/>
      <c r="W107" s="3"/>
      <c r="X107" s="3"/>
      <c r="AA107" s="162">
        <f>600000*1.19/'Eingabe Eckdaten'!L63</f>
        <v>1.5866666666666667</v>
      </c>
      <c r="AB107" s="4" t="s">
        <v>654</v>
      </c>
      <c r="AC107" s="3"/>
      <c r="AD107" s="60" t="s">
        <v>825</v>
      </c>
      <c r="AE107" s="3"/>
      <c r="AF107" s="3"/>
      <c r="AG107" s="3"/>
      <c r="AH107" s="3"/>
      <c r="AI107" s="3"/>
      <c r="AJ107" s="4"/>
      <c r="AK107" s="4"/>
      <c r="AL107" s="4"/>
      <c r="AM107" s="4"/>
      <c r="AN107" s="26">
        <v>2.15</v>
      </c>
      <c r="AO107" t="s">
        <v>839</v>
      </c>
      <c r="AQ107" s="20"/>
      <c r="AV107" s="3"/>
      <c r="AW107" s="3"/>
      <c r="AY107" s="4"/>
      <c r="AZ107" s="162">
        <f>600000*1.19/'Interne Berechunung'!BJ185</f>
        <v>1.1424000000000001</v>
      </c>
      <c r="BA107" s="4" t="s">
        <v>654</v>
      </c>
      <c r="BB107" s="3"/>
      <c r="BC107" s="60" t="s">
        <v>825</v>
      </c>
      <c r="BD107" s="3"/>
      <c r="BE107" s="3"/>
      <c r="BF107" s="3"/>
      <c r="BG107" s="3"/>
      <c r="BH107" s="3"/>
      <c r="BI107" s="4"/>
      <c r="BJ107" s="4"/>
      <c r="BK107" s="4"/>
    </row>
    <row r="108" spans="1:63" x14ac:dyDescent="0.25">
      <c r="A108" s="999" t="s">
        <v>524</v>
      </c>
      <c r="B108" s="999"/>
      <c r="C108" s="155"/>
      <c r="D108" s="117"/>
      <c r="E108" s="117"/>
      <c r="F108" s="117"/>
      <c r="G108" s="117"/>
      <c r="H108" s="117"/>
      <c r="I108" s="117"/>
      <c r="J108" s="117"/>
      <c r="O108" s="26">
        <v>9.07</v>
      </c>
      <c r="P108" t="s">
        <v>63</v>
      </c>
      <c r="R108" s="20"/>
      <c r="W108" s="4"/>
      <c r="X108" s="4"/>
      <c r="AA108" s="206">
        <f>AA107*0.05</f>
        <v>7.9333333333333339E-2</v>
      </c>
      <c r="AB108" s="4" t="s">
        <v>467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26">
        <v>9.07</v>
      </c>
      <c r="AO108" t="s">
        <v>63</v>
      </c>
      <c r="AQ108" s="20"/>
      <c r="AV108" s="4"/>
      <c r="AW108" s="4"/>
      <c r="AY108" s="4"/>
      <c r="AZ108" s="206">
        <f>AZ107*0.05</f>
        <v>5.7120000000000004E-2</v>
      </c>
      <c r="BA108" s="4" t="s">
        <v>467</v>
      </c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x14ac:dyDescent="0.25">
      <c r="A109" s="999" t="s">
        <v>622</v>
      </c>
      <c r="B109" s="999"/>
      <c r="C109" s="155"/>
      <c r="D109" s="117"/>
      <c r="E109" s="117"/>
      <c r="F109" s="117"/>
      <c r="G109" s="117"/>
      <c r="H109" s="117"/>
      <c r="I109" s="117"/>
      <c r="J109" s="117"/>
      <c r="O109" s="148">
        <f>O91</f>
        <v>0.11637774275669778</v>
      </c>
      <c r="P109" s="31" t="s">
        <v>555</v>
      </c>
      <c r="W109" s="4"/>
      <c r="X109" s="4"/>
      <c r="AA109" s="130"/>
      <c r="AE109" s="4"/>
      <c r="AF109" s="4"/>
      <c r="AG109" s="4"/>
      <c r="AH109" s="4"/>
      <c r="AI109" s="4"/>
      <c r="AJ109" s="4"/>
      <c r="AK109" s="4"/>
      <c r="AL109" s="4"/>
      <c r="AM109" s="4"/>
      <c r="AN109" s="148">
        <f>AN91</f>
        <v>0.11637774275669778</v>
      </c>
      <c r="AO109" s="31" t="s">
        <v>555</v>
      </c>
      <c r="AV109" s="4"/>
      <c r="AW109" s="4"/>
      <c r="AY109" s="4"/>
      <c r="AZ109" s="130"/>
      <c r="BD109" s="4"/>
      <c r="BE109" s="4"/>
      <c r="BF109" s="4"/>
      <c r="BG109" s="4"/>
      <c r="BH109" s="4"/>
      <c r="BI109" s="4"/>
      <c r="BJ109" s="4"/>
      <c r="BK109" s="4"/>
    </row>
    <row r="110" spans="1:63" x14ac:dyDescent="0.25">
      <c r="A110" s="1002" t="s">
        <v>528</v>
      </c>
      <c r="B110" s="1002"/>
      <c r="C110" s="156"/>
      <c r="D110" s="120"/>
      <c r="E110" s="120"/>
      <c r="F110" s="120"/>
      <c r="G110" s="120"/>
      <c r="H110" s="120"/>
      <c r="I110" s="120"/>
      <c r="J110" s="120"/>
      <c r="O110" s="186">
        <f>O108*O109</f>
        <v>1.0555461268032489</v>
      </c>
      <c r="P110" s="8" t="s">
        <v>477</v>
      </c>
      <c r="Q110" s="8"/>
      <c r="R110" s="8"/>
      <c r="S110" s="8"/>
      <c r="T110" s="8"/>
      <c r="U110" s="8"/>
      <c r="V110" s="8"/>
      <c r="W110" s="8"/>
      <c r="X110" s="8"/>
      <c r="AA110" s="186">
        <f>AA107*0.072/(AD20/'Eingabe Eckdaten'!L63)+AA108</f>
        <v>0.10753273350365534</v>
      </c>
      <c r="AB110" s="8" t="s">
        <v>477</v>
      </c>
      <c r="AC110" s="122"/>
      <c r="AD110" s="8"/>
      <c r="AE110" s="8"/>
      <c r="AF110" s="8"/>
      <c r="AG110" s="8"/>
      <c r="AH110" s="8"/>
      <c r="AI110" s="8"/>
      <c r="AJ110" s="8"/>
      <c r="AK110" s="8"/>
      <c r="AL110" s="8"/>
      <c r="AM110" s="4"/>
      <c r="AN110" s="186">
        <f>AN108*AN109</f>
        <v>1.0555461268032489</v>
      </c>
      <c r="AO110" s="8" t="s">
        <v>477</v>
      </c>
      <c r="AP110" s="8"/>
      <c r="AQ110" s="8"/>
      <c r="AR110" s="8"/>
      <c r="AS110" s="8"/>
      <c r="AT110" s="8"/>
      <c r="AU110" s="8"/>
      <c r="AV110" s="8"/>
      <c r="AW110" s="8"/>
      <c r="AY110" s="4"/>
      <c r="AZ110" s="186">
        <f>AZ107*0.072/(BC20/'Interne Berechunung'!BJ185)+AZ108</f>
        <v>7.6934461052961228E-2</v>
      </c>
      <c r="BA110" s="8" t="s">
        <v>477</v>
      </c>
      <c r="BB110" s="122"/>
      <c r="BC110" s="8"/>
      <c r="BD110" s="8"/>
      <c r="BE110" s="8"/>
      <c r="BF110" s="8"/>
      <c r="BG110" s="8"/>
      <c r="BH110" s="8"/>
      <c r="BI110" s="8"/>
      <c r="BJ110" s="8"/>
      <c r="BK110" s="8"/>
    </row>
    <row r="111" spans="1:63" x14ac:dyDescent="0.25">
      <c r="A111" s="4"/>
      <c r="O111" s="130"/>
      <c r="AA111" s="130"/>
      <c r="AM111" s="4"/>
      <c r="AN111" s="130"/>
      <c r="AY111" s="4"/>
      <c r="AZ111" s="130"/>
    </row>
    <row r="112" spans="1:63" x14ac:dyDescent="0.25">
      <c r="A112" s="1002" t="s">
        <v>252</v>
      </c>
      <c r="B112" s="1002"/>
      <c r="O112" s="187" t="s">
        <v>580</v>
      </c>
      <c r="AA112" s="130" t="s">
        <v>350</v>
      </c>
      <c r="AM112" s="4"/>
      <c r="AN112" s="187" t="s">
        <v>580</v>
      </c>
      <c r="AY112" s="4"/>
      <c r="AZ112" s="130" t="s">
        <v>350</v>
      </c>
    </row>
    <row r="113" spans="1:63" x14ac:dyDescent="0.25">
      <c r="A113" s="1000" t="s">
        <v>524</v>
      </c>
      <c r="B113" s="1000"/>
      <c r="C113" s="2"/>
      <c r="D113" s="3"/>
      <c r="E113" s="3"/>
      <c r="F113" s="3"/>
      <c r="G113" s="3"/>
      <c r="H113" s="3"/>
      <c r="I113" s="3"/>
      <c r="J113" s="3"/>
      <c r="O113" s="188">
        <v>-14</v>
      </c>
      <c r="P113" s="3" t="s">
        <v>340</v>
      </c>
      <c r="Q113" s="3"/>
      <c r="R113" s="3"/>
      <c r="S113" s="3"/>
      <c r="T113" s="3"/>
      <c r="U113" s="3"/>
      <c r="V113" s="3"/>
      <c r="W113" s="3"/>
      <c r="X113" s="3"/>
      <c r="AA113" s="188">
        <v>-14</v>
      </c>
      <c r="AB113" s="3" t="s">
        <v>340</v>
      </c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4"/>
      <c r="AN113" s="188">
        <v>-14</v>
      </c>
      <c r="AO113" s="3" t="s">
        <v>340</v>
      </c>
      <c r="AP113" s="3"/>
      <c r="AQ113" s="3"/>
      <c r="AR113" s="3"/>
      <c r="AS113" s="3"/>
      <c r="AT113" s="3"/>
      <c r="AU113" s="3"/>
      <c r="AV113" s="3"/>
      <c r="AW113" s="3"/>
      <c r="AY113" s="4"/>
      <c r="AZ113" s="188">
        <v>-14</v>
      </c>
      <c r="BA113" s="3" t="s">
        <v>340</v>
      </c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x14ac:dyDescent="0.25">
      <c r="A114" s="1002" t="s">
        <v>528</v>
      </c>
      <c r="B114" s="1002"/>
      <c r="C114" s="7"/>
      <c r="D114" s="8"/>
      <c r="E114" s="8"/>
      <c r="F114" s="8"/>
      <c r="G114" s="8"/>
      <c r="H114" s="8"/>
      <c r="I114" s="8"/>
      <c r="J114" s="8"/>
      <c r="O114" s="241">
        <f>O73*O113/R18</f>
        <v>-1.6292883985937689E-3</v>
      </c>
      <c r="P114" s="8" t="s">
        <v>477</v>
      </c>
      <c r="Q114" s="8"/>
      <c r="R114" s="8"/>
      <c r="S114" s="8"/>
      <c r="T114" s="8"/>
      <c r="U114" s="8"/>
      <c r="V114" s="8"/>
      <c r="W114" s="8"/>
      <c r="X114" s="8"/>
      <c r="AA114" s="241">
        <f>AA90*AA113/AD20</f>
        <v>-1.135233205386125E-3</v>
      </c>
      <c r="AB114" s="8" t="s">
        <v>477</v>
      </c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4"/>
      <c r="AN114" s="241">
        <f>AN73*AN113/AQ18</f>
        <v>-1.6292883985937689E-3</v>
      </c>
      <c r="AO114" s="8" t="s">
        <v>477</v>
      </c>
      <c r="AP114" s="8"/>
      <c r="AQ114" s="8"/>
      <c r="AR114" s="8"/>
      <c r="AS114" s="8"/>
      <c r="AT114" s="8"/>
      <c r="AU114" s="8"/>
      <c r="AV114" s="8"/>
      <c r="AW114" s="8"/>
      <c r="AY114" s="4"/>
      <c r="AZ114" s="241">
        <f>AZ90*AZ113/BC20</f>
        <v>-1.107885766594799E-3</v>
      </c>
      <c r="BA114" s="8" t="s">
        <v>477</v>
      </c>
      <c r="BB114" s="8"/>
      <c r="BC114" s="8"/>
      <c r="BD114" s="8"/>
      <c r="BE114" s="8"/>
      <c r="BF114" s="8"/>
      <c r="BG114" s="8"/>
      <c r="BH114" s="8"/>
      <c r="BI114" s="8"/>
      <c r="BJ114" s="8"/>
      <c r="BK114" s="8"/>
    </row>
    <row r="115" spans="1:63" x14ac:dyDescent="0.25">
      <c r="A115" s="4"/>
      <c r="O115" s="130"/>
      <c r="AA115" s="130"/>
      <c r="AM115" s="4"/>
      <c r="AN115" s="130"/>
      <c r="AY115" s="4"/>
      <c r="AZ115" s="130"/>
    </row>
    <row r="116" spans="1:63" x14ac:dyDescent="0.25">
      <c r="A116" s="1002" t="s">
        <v>579</v>
      </c>
      <c r="B116" s="1002"/>
      <c r="O116" s="187" t="s">
        <v>558</v>
      </c>
      <c r="P116" s="8"/>
      <c r="Q116" s="8"/>
      <c r="R116" s="84" t="s">
        <v>491</v>
      </c>
      <c r="S116" s="8"/>
      <c r="T116" s="8"/>
      <c r="U116" s="8"/>
      <c r="V116" s="8"/>
      <c r="AA116" s="187" t="s">
        <v>558</v>
      </c>
      <c r="AB116" s="8"/>
      <c r="AC116" s="8"/>
      <c r="AD116" s="84" t="s">
        <v>175</v>
      </c>
      <c r="AE116" s="8"/>
      <c r="AF116" s="8"/>
      <c r="AJ116" s="8"/>
      <c r="AK116" s="8"/>
      <c r="AL116" s="8"/>
      <c r="AM116" s="4"/>
      <c r="AN116" s="187" t="s">
        <v>558</v>
      </c>
      <c r="AO116" s="8"/>
      <c r="AP116" s="8"/>
      <c r="AQ116" s="84" t="s">
        <v>491</v>
      </c>
      <c r="AR116" s="8"/>
      <c r="AS116" s="8"/>
      <c r="AT116" s="8"/>
      <c r="AU116" s="8"/>
      <c r="AY116" s="4"/>
      <c r="AZ116" s="187" t="s">
        <v>558</v>
      </c>
      <c r="BA116" s="8"/>
      <c r="BB116" s="8"/>
      <c r="BC116" s="84" t="s">
        <v>491</v>
      </c>
      <c r="BD116" s="8"/>
      <c r="BE116" s="8"/>
      <c r="BI116" s="8"/>
      <c r="BJ116" s="8"/>
      <c r="BK116" s="8"/>
    </row>
    <row r="117" spans="1:63" x14ac:dyDescent="0.25">
      <c r="A117" s="1000" t="s">
        <v>524</v>
      </c>
      <c r="B117" s="1000"/>
      <c r="C117" s="2"/>
      <c r="D117" s="3"/>
      <c r="E117" s="3"/>
      <c r="F117" s="3"/>
      <c r="G117" s="3"/>
      <c r="H117" s="3"/>
      <c r="I117" s="3"/>
      <c r="J117" s="3"/>
      <c r="O117" s="304">
        <v>-1.51</v>
      </c>
      <c r="P117" t="s">
        <v>560</v>
      </c>
      <c r="R117" t="s">
        <v>674</v>
      </c>
      <c r="W117" s="3"/>
      <c r="X117" s="3"/>
      <c r="AA117" s="305">
        <f>'Interne Berechunung'!O117</f>
        <v>-1.51</v>
      </c>
      <c r="AB117" t="s">
        <v>560</v>
      </c>
      <c r="AC117" t="s">
        <v>561</v>
      </c>
      <c r="AG117" s="3"/>
      <c r="AH117" s="3"/>
      <c r="AI117" s="3"/>
      <c r="AJ117" s="4"/>
      <c r="AK117" s="4"/>
      <c r="AL117" s="4"/>
      <c r="AM117" s="4"/>
      <c r="AN117" s="130"/>
      <c r="AO117" t="s">
        <v>560</v>
      </c>
      <c r="AQ117" t="s">
        <v>674</v>
      </c>
      <c r="AV117" s="3"/>
      <c r="AW117" s="3"/>
      <c r="AY117" s="4"/>
      <c r="AZ117" s="130"/>
      <c r="BA117" t="s">
        <v>560</v>
      </c>
      <c r="BB117" t="s">
        <v>561</v>
      </c>
      <c r="BF117" s="3"/>
      <c r="BG117" s="3"/>
      <c r="BH117" s="3"/>
      <c r="BI117" s="4"/>
      <c r="BJ117" s="4"/>
      <c r="BK117" s="4"/>
    </row>
    <row r="118" spans="1:63" x14ac:dyDescent="0.25">
      <c r="A118" s="1002" t="s">
        <v>528</v>
      </c>
      <c r="B118" s="1002"/>
      <c r="C118" s="7"/>
      <c r="D118" s="8"/>
      <c r="E118" s="8"/>
      <c r="F118" s="8"/>
      <c r="G118" s="8"/>
      <c r="H118" s="8"/>
      <c r="I118" s="8"/>
      <c r="J118" s="8"/>
      <c r="O118" s="186">
        <f>'Interne Berechunung'!O117*O98</f>
        <v>-0.36079646017699124</v>
      </c>
      <c r="P118" s="8" t="s">
        <v>477</v>
      </c>
      <c r="Q118" s="8"/>
      <c r="R118" s="8"/>
      <c r="S118" s="8"/>
      <c r="T118" s="8"/>
      <c r="U118" s="8"/>
      <c r="V118" s="8"/>
      <c r="W118" s="8"/>
      <c r="X118" s="8"/>
      <c r="AA118" s="186">
        <f>'Interne Berechunung'!AA117*AA98</f>
        <v>-1.2734073040988363</v>
      </c>
      <c r="AB118" s="8" t="s">
        <v>477</v>
      </c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4"/>
      <c r="AN118" s="186">
        <f>'Interne Berechunung'!O117*AN98</f>
        <v>-0.36079646017699118</v>
      </c>
      <c r="AO118" s="8" t="s">
        <v>477</v>
      </c>
      <c r="AP118" s="8"/>
      <c r="AQ118" s="8"/>
      <c r="AR118" s="8"/>
      <c r="AS118" s="8"/>
      <c r="AT118" s="8"/>
      <c r="AU118" s="8"/>
      <c r="AV118" s="8"/>
      <c r="AW118" s="8"/>
      <c r="AY118" s="4"/>
      <c r="AZ118" s="186">
        <f>'Interne Berechunung'!AA117*AZ98</f>
        <v>-1.2427312913289088</v>
      </c>
      <c r="BA118" s="8" t="s">
        <v>477</v>
      </c>
      <c r="BB118" s="8"/>
      <c r="BC118" s="8"/>
      <c r="BD118" s="8"/>
      <c r="BE118" s="8"/>
      <c r="BF118" s="8"/>
      <c r="BG118" s="8"/>
      <c r="BH118" s="8"/>
      <c r="BI118" s="8"/>
      <c r="BJ118" s="8"/>
      <c r="BK118" s="8"/>
    </row>
    <row r="119" spans="1:63" x14ac:dyDescent="0.25">
      <c r="A119" s="4"/>
      <c r="AM119" s="4"/>
      <c r="AY119" s="4"/>
    </row>
    <row r="120" spans="1:63" x14ac:dyDescent="0.25">
      <c r="A120" s="1002" t="s">
        <v>252</v>
      </c>
      <c r="B120" s="1002"/>
      <c r="O120" s="7" t="s">
        <v>558</v>
      </c>
      <c r="P120" s="8"/>
      <c r="Q120" s="8"/>
      <c r="R120" s="8"/>
      <c r="S120" s="8"/>
      <c r="T120" s="8"/>
      <c r="U120" s="8"/>
      <c r="V120" s="8"/>
      <c r="AA120" s="7" t="s">
        <v>558</v>
      </c>
      <c r="AB120" s="8"/>
      <c r="AC120" s="8"/>
      <c r="AD120" s="8"/>
      <c r="AE120" s="8"/>
      <c r="AF120" s="8"/>
      <c r="AG120" s="8"/>
      <c r="AH120" s="8"/>
      <c r="AJ120" s="8"/>
      <c r="AK120" s="8"/>
      <c r="AL120" s="8"/>
      <c r="AM120" s="4"/>
      <c r="AN120" s="7" t="s">
        <v>558</v>
      </c>
      <c r="AO120" s="8"/>
      <c r="AP120" s="8"/>
      <c r="AQ120" s="8"/>
      <c r="AR120" s="8"/>
      <c r="AS120" s="8"/>
      <c r="AT120" s="8"/>
      <c r="AU120" s="8"/>
      <c r="AY120" s="4"/>
      <c r="AZ120" s="7" t="s">
        <v>558</v>
      </c>
      <c r="BA120" s="8"/>
      <c r="BB120" s="8"/>
      <c r="BC120" s="8"/>
      <c r="BD120" s="8"/>
      <c r="BE120" s="8"/>
      <c r="BF120" s="8"/>
      <c r="BG120" s="8"/>
      <c r="BI120" s="8"/>
      <c r="BJ120" s="8"/>
      <c r="BK120" s="8"/>
    </row>
    <row r="121" spans="1:63" x14ac:dyDescent="0.25">
      <c r="A121" s="999" t="s">
        <v>273</v>
      </c>
      <c r="B121" s="999"/>
      <c r="C121" s="2"/>
      <c r="D121" s="3"/>
      <c r="E121" s="3"/>
      <c r="F121" s="3"/>
      <c r="G121" s="3"/>
      <c r="H121" s="3"/>
      <c r="I121" s="3"/>
      <c r="J121" s="3"/>
      <c r="O121" s="142"/>
      <c r="P121" t="s">
        <v>341</v>
      </c>
      <c r="R121" s="20" t="s">
        <v>825</v>
      </c>
      <c r="W121" s="3"/>
      <c r="X121" s="3"/>
      <c r="AA121" s="142"/>
      <c r="AB121" t="s">
        <v>341</v>
      </c>
      <c r="AD121" s="60" t="s">
        <v>825</v>
      </c>
      <c r="AI121" s="3"/>
      <c r="AJ121" s="4"/>
      <c r="AK121" s="4"/>
      <c r="AL121" s="4"/>
      <c r="AM121" s="4"/>
      <c r="AN121" s="142"/>
      <c r="AO121" t="s">
        <v>341</v>
      </c>
      <c r="AQ121" s="20" t="s">
        <v>825</v>
      </c>
      <c r="AV121" s="3"/>
      <c r="AW121" s="3"/>
      <c r="AY121" s="4"/>
      <c r="AZ121" s="142"/>
      <c r="BA121" t="s">
        <v>341</v>
      </c>
      <c r="BC121" s="60" t="s">
        <v>825</v>
      </c>
      <c r="BH121" s="3"/>
      <c r="BI121" s="4"/>
      <c r="BJ121" s="4"/>
      <c r="BK121" s="4"/>
    </row>
    <row r="122" spans="1:63" x14ac:dyDescent="0.25">
      <c r="A122" s="999" t="s">
        <v>871</v>
      </c>
      <c r="B122" s="999"/>
      <c r="D122" s="4"/>
      <c r="E122" s="4"/>
      <c r="F122" s="4"/>
      <c r="G122" s="4"/>
      <c r="H122" s="4"/>
      <c r="I122" s="4"/>
      <c r="J122" s="4"/>
      <c r="O122" s="128">
        <f>'Eingabe Annahmen'!F32*O97</f>
        <v>-842.60250000000008</v>
      </c>
      <c r="P122" t="s">
        <v>343</v>
      </c>
      <c r="W122" s="4"/>
      <c r="X122" s="4"/>
      <c r="AA122" s="128">
        <f>'Eingabe Annahmen'!G32*AA97</f>
        <v>-5842.0439999999999</v>
      </c>
      <c r="AB122" t="s">
        <v>343</v>
      </c>
      <c r="AI122" s="4"/>
      <c r="AJ122" s="4"/>
      <c r="AK122" s="4"/>
      <c r="AL122" s="4"/>
      <c r="AM122" s="4"/>
      <c r="AN122" s="128">
        <f>'Eingabe Annahmen'!F32*AN97</f>
        <v>-1170.28125</v>
      </c>
      <c r="AO122" t="s">
        <v>343</v>
      </c>
      <c r="AV122" s="4"/>
      <c r="AW122" s="4"/>
      <c r="AY122" s="4"/>
      <c r="AZ122" s="128">
        <f>'Eingabe Annahmen'!G32*AZ97</f>
        <v>-8113.95</v>
      </c>
      <c r="BA122" t="s">
        <v>343</v>
      </c>
      <c r="BH122" s="4"/>
      <c r="BI122" s="4"/>
      <c r="BJ122" s="4"/>
      <c r="BK122" s="4"/>
    </row>
    <row r="123" spans="1:63" x14ac:dyDescent="0.25">
      <c r="A123" s="999" t="s">
        <v>524</v>
      </c>
      <c r="B123" s="999"/>
      <c r="D123" s="4"/>
      <c r="E123" s="4"/>
      <c r="F123" s="4"/>
      <c r="G123" s="4"/>
      <c r="H123" s="4"/>
      <c r="I123" s="4"/>
      <c r="J123" s="4"/>
      <c r="O123" s="306">
        <v>-60</v>
      </c>
      <c r="P123" t="s">
        <v>342</v>
      </c>
      <c r="R123" s="60" t="s">
        <v>491</v>
      </c>
      <c r="W123" s="4"/>
      <c r="X123" s="4"/>
      <c r="AA123" s="307">
        <f>'Interne Berechunung'!O123</f>
        <v>-60</v>
      </c>
      <c r="AB123" t="s">
        <v>342</v>
      </c>
      <c r="AD123" s="60" t="s">
        <v>491</v>
      </c>
      <c r="AI123" s="4"/>
      <c r="AJ123" s="4"/>
      <c r="AK123" s="4"/>
      <c r="AL123" s="4"/>
      <c r="AM123" s="4"/>
      <c r="AO123" t="s">
        <v>342</v>
      </c>
      <c r="AQ123" s="60" t="s">
        <v>491</v>
      </c>
      <c r="AV123" s="4"/>
      <c r="AW123" s="4"/>
      <c r="AY123" s="4"/>
      <c r="BA123" t="s">
        <v>342</v>
      </c>
      <c r="BC123" s="60" t="s">
        <v>491</v>
      </c>
      <c r="BH123" s="4"/>
      <c r="BI123" s="4"/>
      <c r="BJ123" s="4"/>
      <c r="BK123" s="4"/>
    </row>
    <row r="124" spans="1:63" x14ac:dyDescent="0.25">
      <c r="A124" s="1002" t="s">
        <v>528</v>
      </c>
      <c r="B124" s="1002"/>
      <c r="C124" s="7"/>
      <c r="D124" s="8"/>
      <c r="E124" s="8"/>
      <c r="F124" s="8"/>
      <c r="G124" s="8"/>
      <c r="H124" s="8"/>
      <c r="I124" s="8"/>
      <c r="J124" s="8"/>
      <c r="O124" s="240">
        <f>O122*'Interne Berechunung'!O123/R18</f>
        <v>5.4477876106194693E-2</v>
      </c>
      <c r="P124" s="8" t="s">
        <v>477</v>
      </c>
      <c r="Q124" s="8"/>
      <c r="R124" s="8"/>
      <c r="S124" s="8"/>
      <c r="T124" s="8"/>
      <c r="U124" s="8"/>
      <c r="V124" s="8"/>
      <c r="W124" s="8"/>
      <c r="X124" s="8"/>
      <c r="AA124" s="240">
        <f>AA122*'Interne Berechunung'!AA123/AD20</f>
        <v>0.19227606975796996</v>
      </c>
      <c r="AB124" s="8" t="s">
        <v>477</v>
      </c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4"/>
      <c r="AN124" s="240">
        <f>AN122*'Interne Berechunung'!O123/AQ18</f>
        <v>5.4477876106194693E-2</v>
      </c>
      <c r="AO124" s="8" t="s">
        <v>477</v>
      </c>
      <c r="AP124" s="8"/>
      <c r="AQ124" s="8"/>
      <c r="AR124" s="8"/>
      <c r="AS124" s="8"/>
      <c r="AT124" s="8"/>
      <c r="AU124" s="8"/>
      <c r="AV124" s="8"/>
      <c r="AW124" s="8"/>
      <c r="AY124" s="4"/>
      <c r="AZ124" s="240">
        <f>AZ122*'Interne Berechunung'!AA123/BC20</f>
        <v>0.18764419498211338</v>
      </c>
      <c r="BA124" s="8" t="s">
        <v>477</v>
      </c>
      <c r="BB124" s="8"/>
      <c r="BC124" s="8"/>
      <c r="BD124" s="8"/>
      <c r="BE124" s="8"/>
      <c r="BF124" s="8"/>
      <c r="BG124" s="8"/>
      <c r="BH124" s="8"/>
      <c r="BI124" s="8"/>
      <c r="BJ124" s="8"/>
      <c r="BK124" s="8"/>
    </row>
    <row r="125" spans="1:63" x14ac:dyDescent="0.25">
      <c r="A125" s="4"/>
      <c r="AM125" s="4"/>
      <c r="AY125" s="4"/>
    </row>
    <row r="126" spans="1:63" x14ac:dyDescent="0.25">
      <c r="A126" s="1005" t="s">
        <v>252</v>
      </c>
      <c r="B126" s="1005"/>
      <c r="O126" s="151" t="s">
        <v>519</v>
      </c>
      <c r="P126" s="87"/>
      <c r="Q126" s="87"/>
      <c r="AA126" s="163" t="s">
        <v>519</v>
      </c>
      <c r="AB126" s="90"/>
      <c r="AC126" s="90"/>
      <c r="AD126" s="8"/>
      <c r="AE126" s="8"/>
      <c r="AF126" s="8"/>
      <c r="AG126" s="8"/>
      <c r="AH126" s="8"/>
      <c r="AJ126" s="8"/>
      <c r="AK126" s="8"/>
      <c r="AL126" s="8"/>
      <c r="AM126" s="4"/>
      <c r="AN126" s="151" t="s">
        <v>519</v>
      </c>
      <c r="AO126" s="87"/>
      <c r="AP126" s="87"/>
      <c r="AY126" s="4"/>
      <c r="AZ126" s="163" t="s">
        <v>519</v>
      </c>
      <c r="BA126" s="90"/>
      <c r="BB126" s="90"/>
      <c r="BC126" s="8"/>
      <c r="BD126" s="8"/>
      <c r="BE126" s="8"/>
      <c r="BF126" s="8"/>
      <c r="BG126" s="8"/>
      <c r="BI126" s="8"/>
      <c r="BJ126" s="8"/>
      <c r="BK126" s="8"/>
    </row>
    <row r="127" spans="1:63" x14ac:dyDescent="0.25">
      <c r="A127" s="1004" t="s">
        <v>273</v>
      </c>
      <c r="B127" s="1004"/>
      <c r="C127" s="2"/>
      <c r="D127" s="3"/>
      <c r="E127" s="3"/>
      <c r="F127" s="3"/>
      <c r="G127" s="3"/>
      <c r="H127" s="3"/>
      <c r="I127" s="3"/>
      <c r="J127" s="3"/>
      <c r="O127" s="239">
        <f>O79</f>
        <v>-4</v>
      </c>
      <c r="P127" s="88" t="s">
        <v>256</v>
      </c>
      <c r="Q127" s="88"/>
      <c r="R127" s="3"/>
      <c r="S127" s="3"/>
      <c r="T127" s="3"/>
      <c r="U127" s="3"/>
      <c r="V127" s="3"/>
      <c r="W127" s="3"/>
      <c r="X127" s="3"/>
      <c r="AA127" s="243">
        <f>'Interne Berechunung'!AA79</f>
        <v>-4</v>
      </c>
      <c r="AB127" s="1" t="s">
        <v>256</v>
      </c>
      <c r="AC127" s="1"/>
      <c r="AI127" s="3"/>
      <c r="AJ127" s="4"/>
      <c r="AK127" s="4"/>
      <c r="AL127" s="4"/>
      <c r="AM127" s="4"/>
      <c r="AN127" s="239">
        <f>'Interne Berechunung'!AN79</f>
        <v>-4</v>
      </c>
      <c r="AO127" s="88" t="s">
        <v>256</v>
      </c>
      <c r="AP127" s="88"/>
      <c r="AQ127" s="3"/>
      <c r="AR127" s="3"/>
      <c r="AS127" s="3"/>
      <c r="AT127" s="3"/>
      <c r="AU127" s="3"/>
      <c r="AV127" s="3"/>
      <c r="AW127" s="3"/>
      <c r="AY127" s="4"/>
      <c r="AZ127" s="164">
        <f>('Interne Berechunung'!AZ79+'Interne Berechunung'!BA79)/2</f>
        <v>-4</v>
      </c>
      <c r="BA127" s="1" t="s">
        <v>256</v>
      </c>
      <c r="BB127" s="1"/>
      <c r="BH127" s="3"/>
      <c r="BI127" s="4"/>
      <c r="BJ127" s="4"/>
      <c r="BK127" s="4"/>
    </row>
    <row r="128" spans="1:63" x14ac:dyDescent="0.25">
      <c r="A128" s="1004" t="s">
        <v>871</v>
      </c>
      <c r="B128" s="1004"/>
      <c r="D128" s="4"/>
      <c r="E128" s="4"/>
      <c r="F128" s="4"/>
      <c r="G128" s="4"/>
      <c r="H128" s="4"/>
      <c r="I128" s="4"/>
      <c r="J128" s="4"/>
      <c r="O128" s="152">
        <f>O97*O127</f>
        <v>-886.95000000000016</v>
      </c>
      <c r="P128" s="89" t="s">
        <v>257</v>
      </c>
      <c r="Q128" s="89"/>
      <c r="R128" s="4"/>
      <c r="S128" s="4"/>
      <c r="T128" s="4"/>
      <c r="U128" s="4"/>
      <c r="V128" s="4"/>
      <c r="W128" s="4"/>
      <c r="X128" s="4"/>
      <c r="AA128" s="165">
        <f>AA97*AA127</f>
        <v>-6149.52</v>
      </c>
      <c r="AB128" s="1" t="s">
        <v>257</v>
      </c>
      <c r="AC128" s="1"/>
      <c r="AI128" s="4"/>
      <c r="AJ128" s="4"/>
      <c r="AK128" s="4"/>
      <c r="AL128" s="4"/>
      <c r="AM128" s="4"/>
      <c r="AN128" s="152">
        <f>AN97*AN127</f>
        <v>-1231.875</v>
      </c>
      <c r="AO128" s="89" t="s">
        <v>257</v>
      </c>
      <c r="AP128" s="89"/>
      <c r="AQ128" s="4"/>
      <c r="AR128" s="4"/>
      <c r="AS128" s="4"/>
      <c r="AT128" s="4"/>
      <c r="AU128" s="4"/>
      <c r="AV128" s="4"/>
      <c r="AW128" s="4"/>
      <c r="AY128" s="4"/>
      <c r="AZ128" s="165">
        <f>AZ97*AZ127</f>
        <v>-8541</v>
      </c>
      <c r="BA128" s="1" t="s">
        <v>257</v>
      </c>
      <c r="BB128" s="1"/>
      <c r="BH128" s="4"/>
      <c r="BI128" s="4"/>
      <c r="BJ128" s="4"/>
      <c r="BK128" s="4"/>
    </row>
    <row r="129" spans="1:63" x14ac:dyDescent="0.25">
      <c r="A129" s="1004" t="s">
        <v>524</v>
      </c>
      <c r="B129" s="1004"/>
      <c r="D129" s="4"/>
      <c r="E129" s="4"/>
      <c r="F129" s="4"/>
      <c r="G129" s="4"/>
      <c r="H129" s="4"/>
      <c r="I129" s="4"/>
      <c r="J129" s="4"/>
      <c r="O129" s="151">
        <f>250</f>
        <v>250</v>
      </c>
      <c r="P129" s="89" t="s">
        <v>258</v>
      </c>
      <c r="Q129" s="89"/>
      <c r="R129" s="4"/>
      <c r="S129" s="4"/>
      <c r="T129" s="4"/>
      <c r="U129" s="4"/>
      <c r="V129" s="4"/>
      <c r="W129" s="4"/>
      <c r="X129" s="4"/>
      <c r="AA129" s="164">
        <f>250</f>
        <v>250</v>
      </c>
      <c r="AB129" s="1" t="s">
        <v>258</v>
      </c>
      <c r="AC129" s="1"/>
      <c r="AI129" s="4"/>
      <c r="AJ129" s="4"/>
      <c r="AK129" s="4"/>
      <c r="AL129" s="4"/>
      <c r="AM129" s="4"/>
      <c r="AN129" s="151">
        <f>250</f>
        <v>250</v>
      </c>
      <c r="AO129" s="89" t="s">
        <v>258</v>
      </c>
      <c r="AP129" s="89"/>
      <c r="AQ129" s="4"/>
      <c r="AR129" s="4"/>
      <c r="AS129" s="4"/>
      <c r="AT129" s="4"/>
      <c r="AU129" s="4"/>
      <c r="AV129" s="4"/>
      <c r="AW129" s="4"/>
      <c r="AY129" s="4"/>
      <c r="AZ129" s="164">
        <f>250</f>
        <v>250</v>
      </c>
      <c r="BA129" s="1" t="s">
        <v>258</v>
      </c>
      <c r="BB129" s="1"/>
      <c r="BH129" s="4"/>
      <c r="BI129" s="4"/>
      <c r="BJ129" s="4"/>
      <c r="BK129" s="4"/>
    </row>
    <row r="130" spans="1:63" x14ac:dyDescent="0.25">
      <c r="A130" s="1005" t="s">
        <v>528</v>
      </c>
      <c r="B130" s="1005"/>
      <c r="C130" s="7"/>
      <c r="D130" s="8"/>
      <c r="E130" s="8"/>
      <c r="F130" s="8"/>
      <c r="G130" s="8"/>
      <c r="H130" s="8"/>
      <c r="I130" s="8"/>
      <c r="J130" s="8"/>
      <c r="O130" s="242">
        <f>O128*O129/R18</f>
        <v>-0.23893805309734517</v>
      </c>
      <c r="P130" s="90" t="s">
        <v>477</v>
      </c>
      <c r="Q130" s="90"/>
      <c r="R130" s="8"/>
      <c r="S130" s="8"/>
      <c r="T130" s="8"/>
      <c r="U130" s="8"/>
      <c r="V130" s="8"/>
      <c r="W130" s="8"/>
      <c r="X130" s="8"/>
      <c r="AA130" s="242">
        <f>AA128*AA129/AD20</f>
        <v>-0.84331609542969277</v>
      </c>
      <c r="AB130" s="90" t="s">
        <v>477</v>
      </c>
      <c r="AC130" s="21"/>
      <c r="AD130" s="8"/>
      <c r="AE130" s="8"/>
      <c r="AF130" s="8"/>
      <c r="AG130" s="8"/>
      <c r="AH130" s="8"/>
      <c r="AI130" s="8"/>
      <c r="AJ130" s="8"/>
      <c r="AK130" s="8"/>
      <c r="AL130" s="8"/>
      <c r="AM130" s="4"/>
      <c r="AN130" s="244">
        <f>AN128*AN129/AQ18</f>
        <v>-0.23893805309734514</v>
      </c>
      <c r="AO130" s="90" t="s">
        <v>477</v>
      </c>
      <c r="AP130" s="90"/>
      <c r="AQ130" s="8"/>
      <c r="AR130" s="8"/>
      <c r="AS130" s="8"/>
      <c r="AT130" s="8"/>
      <c r="AU130" s="8"/>
      <c r="AV130" s="8"/>
      <c r="AW130" s="8"/>
      <c r="AY130" s="4"/>
      <c r="AZ130" s="245">
        <f>AZ128*AZ129/BC20</f>
        <v>-0.82300085518470789</v>
      </c>
      <c r="BA130" s="90" t="s">
        <v>477</v>
      </c>
      <c r="BB130" s="21"/>
      <c r="BC130" s="8"/>
      <c r="BD130" s="8"/>
      <c r="BE130" s="8"/>
      <c r="BF130" s="8"/>
      <c r="BG130" s="8"/>
      <c r="BH130" s="8"/>
      <c r="BI130" s="8"/>
      <c r="BJ130" s="8"/>
      <c r="BK130" s="8"/>
    </row>
    <row r="131" spans="1:63" x14ac:dyDescent="0.25">
      <c r="A131" s="4"/>
      <c r="AB131" s="47"/>
      <c r="AC131" s="31"/>
      <c r="AM131" s="4"/>
      <c r="AY131" s="4"/>
      <c r="BA131" s="47"/>
      <c r="BB131" s="31"/>
    </row>
    <row r="132" spans="1:63" x14ac:dyDescent="0.25">
      <c r="A132" s="1002" t="s">
        <v>332</v>
      </c>
      <c r="B132" s="1002"/>
      <c r="AA132" s="147" t="s">
        <v>155</v>
      </c>
      <c r="AB132" s="8"/>
      <c r="AC132" s="8"/>
      <c r="AD132" s="8"/>
      <c r="AE132" s="84" t="s">
        <v>125</v>
      </c>
      <c r="AF132" s="8"/>
      <c r="AG132" s="8"/>
      <c r="AH132" s="84" t="s">
        <v>12</v>
      </c>
      <c r="AI132" s="8"/>
      <c r="AJ132" s="8"/>
      <c r="AK132" s="8"/>
      <c r="AL132" s="8"/>
      <c r="AM132" s="4"/>
      <c r="AY132" s="4"/>
      <c r="AZ132" s="147" t="s">
        <v>155</v>
      </c>
      <c r="BA132" s="8"/>
      <c r="BB132" s="8"/>
      <c r="BC132" s="8"/>
      <c r="BD132" s="84" t="s">
        <v>125</v>
      </c>
      <c r="BE132" s="8"/>
      <c r="BF132" s="8"/>
      <c r="BG132" s="8"/>
      <c r="BI132" s="8"/>
      <c r="BJ132" s="8"/>
      <c r="BK132" s="8"/>
    </row>
    <row r="133" spans="1:63" ht="14.1" customHeight="1" x14ac:dyDescent="0.25">
      <c r="A133" s="1000" t="s">
        <v>729</v>
      </c>
      <c r="B133" s="1000"/>
      <c r="C133" s="2"/>
      <c r="D133" s="3"/>
      <c r="E133" s="3"/>
      <c r="F133" s="3"/>
      <c r="G133" s="3"/>
      <c r="H133" s="3"/>
      <c r="I133" s="3"/>
      <c r="J133" s="3"/>
      <c r="O133" s="2"/>
      <c r="P133" s="3"/>
      <c r="Q133" s="3"/>
      <c r="R133" s="3"/>
      <c r="S133" s="3"/>
      <c r="T133" s="3"/>
      <c r="U133" s="3"/>
      <c r="V133" s="3"/>
      <c r="W133" s="3"/>
      <c r="X133" s="3"/>
      <c r="AA133" s="134">
        <v>9700000</v>
      </c>
      <c r="AB133" t="s">
        <v>562</v>
      </c>
      <c r="AC133" t="s">
        <v>468</v>
      </c>
      <c r="AH133" s="1007" t="s">
        <v>46</v>
      </c>
      <c r="AI133" s="1007"/>
      <c r="AJ133" s="1007"/>
      <c r="AK133" s="1007"/>
      <c r="AL133" s="1007"/>
      <c r="AM133" s="658"/>
      <c r="AN133" s="2"/>
      <c r="AO133" s="3"/>
      <c r="AP133" s="3"/>
      <c r="AQ133" s="3"/>
      <c r="AR133" s="3"/>
      <c r="AS133" s="3"/>
      <c r="AT133" s="3"/>
      <c r="AU133" s="3"/>
      <c r="AV133" s="3"/>
      <c r="AW133" s="3"/>
      <c r="AY133" s="4"/>
      <c r="AZ133" s="134">
        <v>36000000</v>
      </c>
      <c r="BA133" t="s">
        <v>562</v>
      </c>
      <c r="BB133" t="s">
        <v>468</v>
      </c>
      <c r="BH133" s="3"/>
      <c r="BI133" s="4"/>
      <c r="BJ133" s="4"/>
      <c r="BK133" s="4"/>
    </row>
    <row r="134" spans="1:63" x14ac:dyDescent="0.25">
      <c r="A134" s="999" t="s">
        <v>270</v>
      </c>
      <c r="B134" s="999"/>
      <c r="D134" s="4"/>
      <c r="E134" s="4"/>
      <c r="F134" s="4"/>
      <c r="G134" s="4"/>
      <c r="H134" s="4"/>
      <c r="I134" s="4"/>
      <c r="J134" s="4"/>
      <c r="P134" s="4"/>
      <c r="Q134" s="4"/>
      <c r="R134" s="4"/>
      <c r="S134" s="4"/>
      <c r="T134" s="4"/>
      <c r="U134" s="4"/>
      <c r="V134" s="4"/>
      <c r="W134" s="4"/>
      <c r="X134" s="4"/>
      <c r="AA134" s="134">
        <v>4200000</v>
      </c>
      <c r="AB134" t="s">
        <v>156</v>
      </c>
      <c r="AD134" s="600">
        <f>AA134/$AA$133</f>
        <v>0.4329896907216495</v>
      </c>
      <c r="AE134" t="s">
        <v>563</v>
      </c>
      <c r="AH134" s="649" t="s">
        <v>91</v>
      </c>
      <c r="AI134" s="649" t="s">
        <v>47</v>
      </c>
      <c r="AJ134" s="649"/>
      <c r="AK134" s="649"/>
      <c r="AL134" s="649"/>
      <c r="AM134" s="649"/>
      <c r="AO134" s="4"/>
      <c r="AP134" s="4"/>
      <c r="AQ134" s="4"/>
      <c r="AR134" s="4"/>
      <c r="AS134" s="4"/>
      <c r="AT134" s="4"/>
      <c r="AU134" s="4"/>
      <c r="AV134" s="4"/>
      <c r="AW134" s="4"/>
      <c r="AY134" s="4"/>
      <c r="AZ134" s="134">
        <v>18000000</v>
      </c>
      <c r="BA134" t="s">
        <v>156</v>
      </c>
      <c r="BC134">
        <f>AZ134/$AA$133</f>
        <v>1.8556701030927836</v>
      </c>
      <c r="BD134" t="s">
        <v>563</v>
      </c>
      <c r="BH134" s="4"/>
      <c r="BI134" s="4"/>
      <c r="BJ134" s="4"/>
      <c r="BK134" s="4"/>
    </row>
    <row r="135" spans="1:63" x14ac:dyDescent="0.25">
      <c r="A135" s="999" t="s">
        <v>157</v>
      </c>
      <c r="B135" s="999"/>
      <c r="D135" s="4"/>
      <c r="E135" s="4"/>
      <c r="F135" s="4"/>
      <c r="G135" s="4"/>
      <c r="H135" s="4"/>
      <c r="I135" s="4"/>
      <c r="J135" s="4"/>
      <c r="P135" s="4"/>
      <c r="Q135" s="4"/>
      <c r="R135" s="4"/>
      <c r="S135" s="4"/>
      <c r="T135" s="4"/>
      <c r="U135" s="4"/>
      <c r="V135" s="4"/>
      <c r="W135" s="4"/>
      <c r="X135" s="4"/>
      <c r="AA135" s="134">
        <v>2000000</v>
      </c>
      <c r="AB135" t="s">
        <v>562</v>
      </c>
      <c r="AD135" s="15">
        <f>AA135/$AA$133</f>
        <v>0.20618556701030927</v>
      </c>
      <c r="AE135" t="s">
        <v>563</v>
      </c>
      <c r="AH135" s="650" t="s">
        <v>186</v>
      </c>
      <c r="AI135" s="650"/>
      <c r="AJ135" s="651">
        <v>3500000</v>
      </c>
      <c r="AK135" s="650" t="s">
        <v>562</v>
      </c>
      <c r="AL135" s="649"/>
      <c r="AM135" s="649"/>
      <c r="AO135" s="4"/>
      <c r="AP135" s="4"/>
      <c r="AQ135" s="4"/>
      <c r="AR135" s="4"/>
      <c r="AS135" s="4"/>
      <c r="AT135" s="4"/>
      <c r="AU135" s="4"/>
      <c r="AV135" s="4"/>
      <c r="AW135" s="4"/>
      <c r="AY135" s="4"/>
      <c r="AZ135" s="134">
        <v>4000000</v>
      </c>
      <c r="BA135" t="s">
        <v>562</v>
      </c>
      <c r="BC135" s="15">
        <f>AZ135/$AA$133</f>
        <v>0.41237113402061853</v>
      </c>
      <c r="BD135" t="s">
        <v>563</v>
      </c>
      <c r="BH135" s="4"/>
      <c r="BI135" s="4"/>
      <c r="BJ135" s="4"/>
      <c r="BK135" s="4"/>
    </row>
    <row r="136" spans="1:63" x14ac:dyDescent="0.25">
      <c r="A136" s="999" t="s">
        <v>527</v>
      </c>
      <c r="B136" s="999"/>
      <c r="C136" s="7"/>
      <c r="D136" s="8"/>
      <c r="E136" s="8"/>
      <c r="F136" s="8"/>
      <c r="G136" s="8"/>
      <c r="H136" s="8"/>
      <c r="I136" s="8"/>
      <c r="J136" s="8"/>
      <c r="O136" s="7"/>
      <c r="P136" s="8"/>
      <c r="Q136" s="8"/>
      <c r="R136" s="8"/>
      <c r="S136" s="8"/>
      <c r="T136" s="8"/>
      <c r="U136" s="8"/>
      <c r="V136" s="8"/>
      <c r="W136" s="8"/>
      <c r="X136" s="8"/>
      <c r="AA136" s="134">
        <v>3500000</v>
      </c>
      <c r="AB136" t="s">
        <v>562</v>
      </c>
      <c r="AD136" s="15">
        <f>AA136/$AA$133</f>
        <v>0.36082474226804123</v>
      </c>
      <c r="AE136" t="s">
        <v>563</v>
      </c>
      <c r="AF136" s="4"/>
      <c r="AG136" s="4"/>
      <c r="AH136" s="649" t="s">
        <v>187</v>
      </c>
      <c r="AI136" s="649"/>
      <c r="AJ136" s="652">
        <v>3</v>
      </c>
      <c r="AK136" s="649" t="s">
        <v>188</v>
      </c>
      <c r="AL136" s="649"/>
      <c r="AM136" s="650"/>
      <c r="AN136" s="7"/>
      <c r="AO136" s="8"/>
      <c r="AP136" s="8"/>
      <c r="AQ136" s="8"/>
      <c r="AR136" s="8"/>
      <c r="AS136" s="8"/>
      <c r="AT136" s="8"/>
      <c r="AU136" s="8"/>
      <c r="AV136" s="8"/>
      <c r="AW136" s="8"/>
      <c r="AY136" s="4"/>
      <c r="AZ136" s="134">
        <v>14000000</v>
      </c>
      <c r="BA136" t="s">
        <v>562</v>
      </c>
      <c r="BC136" s="15">
        <f>AZ136/$AA$133</f>
        <v>1.4432989690721649</v>
      </c>
      <c r="BD136" t="s">
        <v>563</v>
      </c>
      <c r="BH136" s="8"/>
      <c r="BI136" s="4"/>
      <c r="BJ136" s="4"/>
      <c r="BK136" s="4"/>
    </row>
    <row r="137" spans="1:63" x14ac:dyDescent="0.25">
      <c r="A137" s="1000" t="s">
        <v>469</v>
      </c>
      <c r="B137" s="1000"/>
      <c r="C137" s="2"/>
      <c r="D137" s="3"/>
      <c r="E137" s="3"/>
      <c r="F137" s="3"/>
      <c r="G137" s="3"/>
      <c r="H137" s="3"/>
      <c r="I137" s="3"/>
      <c r="J137" s="3"/>
      <c r="AA137" s="149">
        <f>AA133/5000/50</f>
        <v>38.799999999999997</v>
      </c>
      <c r="AB137" s="3" t="s">
        <v>597</v>
      </c>
      <c r="AC137" s="3"/>
      <c r="AD137" s="3"/>
      <c r="AE137" s="3"/>
      <c r="AF137" s="4"/>
      <c r="AG137" s="4"/>
      <c r="AH137" s="649" t="s">
        <v>189</v>
      </c>
      <c r="AI137" s="649"/>
      <c r="AJ137" s="653">
        <v>25</v>
      </c>
      <c r="AK137" s="649" t="s">
        <v>190</v>
      </c>
      <c r="AL137" s="649"/>
      <c r="AM137" s="649"/>
      <c r="AY137" s="4"/>
      <c r="AZ137" s="149">
        <f>AZ133/5000/50</f>
        <v>144</v>
      </c>
      <c r="BA137" s="3" t="s">
        <v>839</v>
      </c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x14ac:dyDescent="0.25">
      <c r="A138" s="999" t="s">
        <v>515</v>
      </c>
      <c r="B138" s="999"/>
      <c r="D138" s="4"/>
      <c r="E138" s="4"/>
      <c r="F138" s="4"/>
      <c r="G138" s="4"/>
      <c r="H138" s="4"/>
      <c r="I138" s="4"/>
      <c r="J138" s="4"/>
      <c r="AA138" s="26">
        <f>AA137*AD134</f>
        <v>16.8</v>
      </c>
      <c r="AB138" s="4" t="s">
        <v>597</v>
      </c>
      <c r="AC138" s="4"/>
      <c r="AD138" s="4"/>
      <c r="AE138" s="4"/>
      <c r="AF138" s="4"/>
      <c r="AG138" s="4"/>
      <c r="AH138" s="650" t="s">
        <v>191</v>
      </c>
      <c r="AI138" s="649"/>
      <c r="AJ138" s="651">
        <f>AJ135*(AJ136/100*(1+AJ136/100)^AJ137)/((1+AJ136/100)^AJ137-1)</f>
        <v>200997.54863694738</v>
      </c>
      <c r="AK138" s="650" t="s">
        <v>192</v>
      </c>
      <c r="AL138" s="649"/>
      <c r="AM138" s="649"/>
      <c r="AY138" s="4"/>
      <c r="AZ138" s="26">
        <f>AZ137*BC134</f>
        <v>267.21649484536084</v>
      </c>
      <c r="BA138" s="4" t="s">
        <v>839</v>
      </c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x14ac:dyDescent="0.25">
      <c r="A139" s="999" t="s">
        <v>470</v>
      </c>
      <c r="B139" s="999"/>
      <c r="D139" s="4"/>
      <c r="E139" s="4"/>
      <c r="F139" s="4"/>
      <c r="G139" s="4"/>
      <c r="H139" s="4"/>
      <c r="I139" s="4"/>
      <c r="J139" s="4"/>
      <c r="AA139" s="26">
        <f>AA137*AD135</f>
        <v>7.9999999999999991</v>
      </c>
      <c r="AB139" s="4" t="s">
        <v>597</v>
      </c>
      <c r="AC139" s="4"/>
      <c r="AD139" s="4"/>
      <c r="AE139" s="4"/>
      <c r="AF139" s="4"/>
      <c r="AG139" s="4"/>
      <c r="AH139" s="649" t="s">
        <v>6</v>
      </c>
      <c r="AI139" s="649"/>
      <c r="AJ139" s="652">
        <v>1.2</v>
      </c>
      <c r="AK139" s="649" t="s">
        <v>7</v>
      </c>
      <c r="AL139" s="649"/>
      <c r="AM139" s="650"/>
      <c r="AY139" s="4"/>
      <c r="AZ139" s="26">
        <f>AZ137*BC135</f>
        <v>59.381443298969067</v>
      </c>
      <c r="BA139" s="4" t="s">
        <v>839</v>
      </c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x14ac:dyDescent="0.25">
      <c r="A140" s="1002" t="s">
        <v>516</v>
      </c>
      <c r="B140" s="1002"/>
      <c r="C140" s="7"/>
      <c r="D140" s="8"/>
      <c r="E140" s="8"/>
      <c r="F140" s="8"/>
      <c r="G140" s="8"/>
      <c r="H140" s="8"/>
      <c r="I140" s="8"/>
      <c r="J140" s="8"/>
      <c r="AA140" s="7">
        <f>AA137*AD136</f>
        <v>13.999999999999998</v>
      </c>
      <c r="AB140" s="8" t="s">
        <v>596</v>
      </c>
      <c r="AC140" s="8"/>
      <c r="AD140" s="8"/>
      <c r="AE140" s="8"/>
      <c r="AF140" s="4"/>
      <c r="AG140" s="4"/>
      <c r="AH140" s="649" t="s">
        <v>8</v>
      </c>
      <c r="AI140" s="649"/>
      <c r="AJ140" s="653">
        <v>50000</v>
      </c>
      <c r="AK140" s="649" t="s">
        <v>192</v>
      </c>
      <c r="AL140" s="649"/>
      <c r="AM140" s="649"/>
      <c r="AY140" s="4"/>
      <c r="AZ140" s="7">
        <f>AZ137*BC136</f>
        <v>207.83505154639175</v>
      </c>
      <c r="BA140" s="8" t="s">
        <v>839</v>
      </c>
      <c r="BB140" s="8"/>
      <c r="BC140" s="8"/>
      <c r="BD140" s="8"/>
      <c r="BE140" s="8"/>
      <c r="BF140" s="8"/>
      <c r="BG140" s="8"/>
      <c r="BH140" s="8"/>
      <c r="BI140" s="8"/>
      <c r="BJ140" s="8"/>
      <c r="BK140" s="8"/>
    </row>
    <row r="141" spans="1:63" ht="17.25" x14ac:dyDescent="0.25">
      <c r="A141" s="1000" t="s">
        <v>281</v>
      </c>
      <c r="B141" s="1000"/>
      <c r="C141" s="2"/>
      <c r="D141" s="3"/>
      <c r="E141" s="3"/>
      <c r="F141" s="3"/>
      <c r="G141" s="3"/>
      <c r="H141" s="3"/>
      <c r="I141" s="3"/>
      <c r="J141" s="3"/>
      <c r="O141" s="2"/>
      <c r="P141" s="3"/>
      <c r="Q141" s="3"/>
      <c r="R141" s="3"/>
      <c r="S141" s="3"/>
      <c r="T141" s="3"/>
      <c r="U141" s="3"/>
      <c r="V141" s="3"/>
      <c r="W141" s="3"/>
      <c r="X141" s="3"/>
      <c r="AA141" s="599">
        <f>AG23</f>
        <v>4.0511499999999998</v>
      </c>
      <c r="AB141" t="s">
        <v>598</v>
      </c>
      <c r="AH141" s="650" t="s">
        <v>9</v>
      </c>
      <c r="AI141" s="650"/>
      <c r="AJ141" s="651">
        <f>35*365</f>
        <v>12775</v>
      </c>
      <c r="AK141" s="650" t="s">
        <v>10</v>
      </c>
      <c r="AL141" s="649"/>
      <c r="AM141" s="649"/>
      <c r="AN141" s="2"/>
      <c r="AO141" s="3"/>
      <c r="AP141" s="3"/>
      <c r="AQ141" s="3"/>
      <c r="AR141" s="3"/>
      <c r="AS141" s="3"/>
      <c r="AT141" s="3"/>
      <c r="AU141" s="3"/>
      <c r="AV141" s="3"/>
      <c r="AW141" s="3"/>
      <c r="AY141" s="4"/>
      <c r="AZ141" s="26">
        <v>5</v>
      </c>
      <c r="BA141" t="s">
        <v>430</v>
      </c>
      <c r="BH141" s="3"/>
      <c r="BI141" s="4"/>
      <c r="BJ141" s="4"/>
      <c r="BK141" s="4"/>
    </row>
    <row r="142" spans="1:63" x14ac:dyDescent="0.25">
      <c r="A142" s="1002" t="s">
        <v>282</v>
      </c>
      <c r="B142" s="1002"/>
      <c r="C142" s="7"/>
      <c r="D142" s="8"/>
      <c r="E142" s="8"/>
      <c r="F142" s="8"/>
      <c r="G142" s="8"/>
      <c r="H142" s="8"/>
      <c r="I142" s="8"/>
      <c r="J142" s="8"/>
      <c r="O142" s="7"/>
      <c r="P142" s="8"/>
      <c r="Q142" s="8"/>
      <c r="R142" s="8"/>
      <c r="S142" s="8"/>
      <c r="T142" s="8"/>
      <c r="U142" s="8"/>
      <c r="V142" s="8"/>
      <c r="W142" s="8"/>
      <c r="X142" s="8"/>
      <c r="AA142" s="185">
        <f>AA137/AA141</f>
        <v>9.5775273687718308</v>
      </c>
      <c r="AB142" s="8" t="s">
        <v>477</v>
      </c>
      <c r="AC142" s="8">
        <v>16.329999999999998</v>
      </c>
      <c r="AD142" s="8" t="s">
        <v>31</v>
      </c>
      <c r="AE142" s="8"/>
      <c r="AF142" s="8"/>
      <c r="AG142" s="8"/>
      <c r="AH142" s="654" t="s">
        <v>11</v>
      </c>
      <c r="AI142" s="654"/>
      <c r="AJ142" s="655">
        <f>AJ138/AJ141</f>
        <v>15.733663298391184</v>
      </c>
      <c r="AK142" s="654" t="s">
        <v>477</v>
      </c>
      <c r="AL142" s="656"/>
      <c r="AM142" s="649"/>
      <c r="AN142" s="7"/>
      <c r="AO142" s="8"/>
      <c r="AP142" s="8"/>
      <c r="AQ142" s="8"/>
      <c r="AR142" s="8"/>
      <c r="AS142" s="8"/>
      <c r="AT142" s="8"/>
      <c r="AU142" s="8"/>
      <c r="AV142" s="8"/>
      <c r="AW142" s="8"/>
      <c r="AY142" s="4"/>
      <c r="AZ142" s="185">
        <f>(AZ138+AZ139)/AZ141</f>
        <v>65.319587628865989</v>
      </c>
      <c r="BA142" s="8" t="s">
        <v>477</v>
      </c>
      <c r="BB142" s="8"/>
      <c r="BC142" s="8"/>
      <c r="BD142" s="8"/>
      <c r="BE142" s="8"/>
      <c r="BF142" s="8"/>
      <c r="BG142" s="8"/>
      <c r="BH142" s="8"/>
      <c r="BI142" s="8"/>
      <c r="BJ142" s="8"/>
      <c r="BK142" s="8"/>
    </row>
    <row r="143" spans="1:63" x14ac:dyDescent="0.25">
      <c r="AL143" s="649"/>
      <c r="AM143" s="650"/>
      <c r="AY143" s="4"/>
      <c r="BH143" s="4"/>
      <c r="BI143" s="4"/>
      <c r="BJ143" s="4"/>
      <c r="BK143" s="4"/>
    </row>
    <row r="144" spans="1:63" s="13" customFormat="1" x14ac:dyDescent="0.25">
      <c r="A144" s="42" t="s">
        <v>108</v>
      </c>
      <c r="B144" s="12"/>
      <c r="C144" s="124" t="s">
        <v>158</v>
      </c>
      <c r="O144" s="124" t="s">
        <v>52</v>
      </c>
      <c r="AA144" s="157" t="s">
        <v>53</v>
      </c>
      <c r="AL144" s="659"/>
      <c r="AM144" s="660"/>
      <c r="AN144" s="157" t="s">
        <v>54</v>
      </c>
      <c r="AY144" s="12"/>
      <c r="AZ144" s="157" t="s">
        <v>45</v>
      </c>
    </row>
    <row r="145" spans="1:63" x14ac:dyDescent="0.25">
      <c r="A145" s="4"/>
      <c r="AM145" s="4"/>
      <c r="AY145" s="4"/>
    </row>
    <row r="146" spans="1:63" x14ac:dyDescent="0.25">
      <c r="A146" s="1000" t="s">
        <v>573</v>
      </c>
      <c r="B146" s="1001"/>
      <c r="C146" s="232">
        <f>3000000000/4400000000</f>
        <v>0.68181818181818177</v>
      </c>
      <c r="D146" s="3" t="s">
        <v>254</v>
      </c>
      <c r="E146" s="59"/>
      <c r="F146" s="59" t="s">
        <v>457</v>
      </c>
      <c r="G146" s="3"/>
      <c r="H146" s="3"/>
      <c r="I146" s="3"/>
      <c r="J146" s="3"/>
      <c r="O146" s="232">
        <f>3000000000/4400000000</f>
        <v>0.68181818181818177</v>
      </c>
      <c r="P146" s="3" t="s">
        <v>254</v>
      </c>
      <c r="Q146" s="59"/>
      <c r="R146" s="59" t="s">
        <v>457</v>
      </c>
      <c r="S146" s="3"/>
      <c r="T146" s="3"/>
      <c r="U146" s="3"/>
      <c r="V146" s="3"/>
      <c r="W146" s="3"/>
      <c r="X146" s="3"/>
      <c r="AA146" s="232">
        <f>3000000000/4400000000</f>
        <v>0.68181818181818177</v>
      </c>
      <c r="AB146" s="3" t="s">
        <v>254</v>
      </c>
      <c r="AC146" s="59"/>
      <c r="AD146" s="59" t="s">
        <v>457</v>
      </c>
      <c r="AE146" s="3"/>
      <c r="AF146" s="3"/>
      <c r="AG146" s="3"/>
      <c r="AH146" s="3"/>
      <c r="AI146" s="3"/>
      <c r="AJ146" s="3"/>
      <c r="AK146" s="3"/>
      <c r="AL146" s="3"/>
      <c r="AM146" s="4"/>
      <c r="AN146" s="246">
        <v>0.68181818181818199</v>
      </c>
      <c r="AO146" s="3" t="s">
        <v>254</v>
      </c>
      <c r="AP146" s="59"/>
      <c r="AQ146" s="59" t="s">
        <v>675</v>
      </c>
      <c r="AR146" s="3"/>
      <c r="AS146" s="3"/>
      <c r="AT146" s="3"/>
      <c r="AU146" s="3"/>
      <c r="AV146" s="3"/>
      <c r="AW146" s="3"/>
      <c r="AY146" s="4"/>
      <c r="AZ146" s="246">
        <v>0.68181818181818199</v>
      </c>
      <c r="BA146" s="3" t="s">
        <v>254</v>
      </c>
      <c r="BB146" s="59"/>
      <c r="BC146" s="59" t="s">
        <v>675</v>
      </c>
      <c r="BD146" s="3"/>
      <c r="BE146" s="3"/>
      <c r="BF146" s="3"/>
      <c r="BG146" s="3"/>
      <c r="BH146" s="3"/>
      <c r="BI146" s="3"/>
      <c r="BJ146" s="3"/>
      <c r="BK146" s="3"/>
    </row>
    <row r="147" spans="1:63" x14ac:dyDescent="0.25">
      <c r="A147" s="1002" t="s">
        <v>462</v>
      </c>
      <c r="B147" s="1003"/>
      <c r="C147" s="150">
        <f>C146*'Ausgabe Mengenbilanzen'!C46*-1</f>
        <v>23848.580539772724</v>
      </c>
      <c r="D147" s="8" t="s">
        <v>107</v>
      </c>
      <c r="E147" s="84"/>
      <c r="F147" s="8"/>
      <c r="G147" s="8"/>
      <c r="H147" s="8"/>
      <c r="I147" s="8"/>
      <c r="J147" s="8"/>
      <c r="O147" s="150">
        <f>O146*'Ausgabe Mengenbilanzen'!D46*-1</f>
        <v>-7831.9664624999969</v>
      </c>
      <c r="P147" s="8" t="s">
        <v>107</v>
      </c>
      <c r="Q147" s="84"/>
      <c r="R147" s="8"/>
      <c r="S147" s="8"/>
      <c r="T147" s="8"/>
      <c r="U147" s="8"/>
      <c r="V147" s="8"/>
      <c r="W147" s="8"/>
      <c r="X147" s="8"/>
      <c r="AA147" s="150">
        <f>AA146*'Ausgabe Mengenbilanzen'!E46*-1</f>
        <v>-73364.068892045441</v>
      </c>
      <c r="AB147" s="8" t="s">
        <v>107</v>
      </c>
      <c r="AC147" s="84"/>
      <c r="AD147" s="8"/>
      <c r="AE147" s="8"/>
      <c r="AF147" s="8"/>
      <c r="AG147" s="8"/>
      <c r="AH147" s="8"/>
      <c r="AI147" s="8"/>
      <c r="AJ147" s="8"/>
      <c r="AK147" s="8"/>
      <c r="AL147" s="8"/>
      <c r="AM147" s="4"/>
      <c r="AN147" s="247">
        <f>AN146*'Ausgabe Mengenbilanzen'!H46*-1</f>
        <v>-8105.4281676136379</v>
      </c>
      <c r="AO147" s="8" t="s">
        <v>208</v>
      </c>
      <c r="AP147" s="84"/>
      <c r="AQ147" s="8"/>
      <c r="AR147" s="8"/>
      <c r="AS147" s="8"/>
      <c r="AT147" s="8"/>
      <c r="AU147" s="8"/>
      <c r="AV147" s="8"/>
      <c r="AW147" s="8"/>
      <c r="AY147" s="4"/>
      <c r="AZ147" s="247">
        <f>AZ146*'Ausgabe Mengenbilanzen'!I46*-1</f>
        <v>-103356.8980823864</v>
      </c>
      <c r="BA147" s="8" t="s">
        <v>208</v>
      </c>
      <c r="BB147" s="84"/>
      <c r="BC147" s="8"/>
      <c r="BD147" s="8"/>
      <c r="BE147" s="8"/>
      <c r="BF147" s="8"/>
      <c r="BG147" s="8"/>
      <c r="BH147" s="8"/>
      <c r="BI147" s="8"/>
      <c r="BJ147" s="8"/>
      <c r="BK147" s="8"/>
    </row>
    <row r="148" spans="1:63" x14ac:dyDescent="0.25">
      <c r="A148" s="4"/>
      <c r="AM148" s="4"/>
      <c r="AN148" s="139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4"/>
      <c r="AZ148" s="224"/>
      <c r="BA148" s="223"/>
      <c r="BB148" s="223"/>
      <c r="BC148" s="223"/>
      <c r="BD148" s="223"/>
      <c r="BE148" s="223"/>
      <c r="BF148" s="223"/>
      <c r="BG148" s="223"/>
      <c r="BH148" s="223"/>
      <c r="BI148" s="223"/>
      <c r="BJ148" s="223"/>
      <c r="BK148" s="223"/>
    </row>
    <row r="149" spans="1:63" s="13" customFormat="1" x14ac:dyDescent="0.25">
      <c r="A149" s="42" t="s">
        <v>484</v>
      </c>
      <c r="B149" s="12"/>
      <c r="C149" s="536"/>
      <c r="O149" s="536"/>
      <c r="AA149" s="536"/>
      <c r="AN149" s="536"/>
      <c r="AZ149" s="537"/>
      <c r="BA149" s="538"/>
      <c r="BB149" s="538"/>
      <c r="BC149" s="538"/>
      <c r="BD149" s="538"/>
      <c r="BE149" s="538"/>
      <c r="BF149" s="538"/>
      <c r="BG149" s="538"/>
      <c r="BH149" s="538"/>
      <c r="BI149" s="538"/>
      <c r="BJ149" s="538"/>
      <c r="BK149" s="538"/>
    </row>
    <row r="150" spans="1:63" ht="15.75" thickBot="1" x14ac:dyDescent="0.3">
      <c r="AZ150" s="224"/>
      <c r="BA150" s="223"/>
      <c r="BB150" s="223"/>
      <c r="BC150" s="223"/>
      <c r="BD150" s="223"/>
      <c r="BE150" s="223"/>
      <c r="BF150" s="223"/>
      <c r="BG150" s="223"/>
      <c r="BH150" s="223"/>
      <c r="BI150" s="223"/>
      <c r="BJ150" s="223"/>
      <c r="BK150" s="223"/>
    </row>
    <row r="151" spans="1:63" ht="15.75" thickTop="1" x14ac:dyDescent="0.25">
      <c r="B151" s="524"/>
      <c r="C151" s="534" t="s">
        <v>30</v>
      </c>
      <c r="D151" s="534" t="s">
        <v>648</v>
      </c>
      <c r="E151" s="534" t="s">
        <v>649</v>
      </c>
      <c r="F151" s="534" t="s">
        <v>13</v>
      </c>
      <c r="G151" s="534" t="s">
        <v>51</v>
      </c>
      <c r="H151" s="535" t="s">
        <v>399</v>
      </c>
      <c r="AZ151" s="224"/>
      <c r="BA151" s="223"/>
      <c r="BB151" s="223"/>
      <c r="BC151" s="223"/>
      <c r="BD151" s="223"/>
      <c r="BE151" s="223"/>
      <c r="BF151" s="223"/>
      <c r="BG151" s="223"/>
      <c r="BH151" s="223"/>
      <c r="BI151" s="223"/>
      <c r="BJ151" s="223"/>
      <c r="BK151" s="223"/>
    </row>
    <row r="152" spans="1:63" ht="17.25" x14ac:dyDescent="0.25">
      <c r="B152" s="527"/>
      <c r="C152" s="607" t="s">
        <v>66</v>
      </c>
      <c r="D152" s="605"/>
      <c r="E152" s="605"/>
      <c r="F152" s="605"/>
      <c r="G152" s="605"/>
      <c r="H152" s="608"/>
      <c r="AZ152" s="224"/>
      <c r="BA152" s="223"/>
      <c r="BB152" s="223"/>
      <c r="BC152" s="223"/>
      <c r="BD152" s="223"/>
      <c r="BE152" s="223"/>
      <c r="BF152" s="223"/>
      <c r="BG152" s="223"/>
      <c r="BH152" s="223"/>
      <c r="BI152" s="223"/>
      <c r="BJ152" s="223"/>
      <c r="BK152" s="223"/>
    </row>
    <row r="153" spans="1:63" x14ac:dyDescent="0.25">
      <c r="B153" s="527" t="s">
        <v>42</v>
      </c>
      <c r="C153" s="520">
        <f>('Interne Berechunung'!C13+'Interne Berechunung'!F15+'Interne Berechunung'!F14)/'Interne Berechunung'!B177</f>
        <v>44.225000000000001</v>
      </c>
      <c r="D153" s="520">
        <f>('Interne Berechunung'!O13+'Interne Berechunung'!R15+'Interne Berechunung'!R14)/'Interne Berechunung'!B177</f>
        <v>33.200000000000003</v>
      </c>
      <c r="E153" s="520">
        <f>('Interne Berechunung'!AA13+'Interne Berechunung'!AD15+'Interne Berechunung'!AD14)/'Interne Berechunung'!B177</f>
        <v>25.324999999999999</v>
      </c>
      <c r="F153" s="521">
        <f>(AN13+AQ14+AQ15)/B177</f>
        <v>38.35</v>
      </c>
      <c r="G153" s="521">
        <f>(AZ13+BC14+BC15)/B177</f>
        <v>27.475000000000001</v>
      </c>
      <c r="H153" s="528"/>
      <c r="AZ153" s="225"/>
      <c r="BA153" s="203"/>
      <c r="BB153" s="203"/>
      <c r="BC153" s="203"/>
      <c r="BD153" s="203"/>
      <c r="BE153" s="203"/>
      <c r="BF153" s="203"/>
      <c r="BG153" s="203"/>
      <c r="BH153" s="203"/>
      <c r="BI153" s="203"/>
      <c r="BJ153" s="203"/>
      <c r="BK153" s="203"/>
    </row>
    <row r="154" spans="1:63" x14ac:dyDescent="0.25">
      <c r="B154" s="527" t="s">
        <v>133</v>
      </c>
      <c r="C154" s="520">
        <f>('Interne Berechunung'!J16+'Interne Berechunung'!K16+'Interne Berechunung'!L16)/'Interne Berechunung'!B177</f>
        <v>40.256968749999999</v>
      </c>
      <c r="D154" s="520">
        <f>('Interne Berechunung'!V16+'Interne Berechunung'!W16+'Interne Berechunung'!X16)/'Interne Berechunung'!B177</f>
        <v>30.035517500000001</v>
      </c>
      <c r="E154" s="520">
        <f>('Interne Berechunung'!AJ16+'Interne Berechunung'!AD20+'Interne Berechunung'!AE16-'Interne Berechunung'!AC13)/'Interne Berechunung'!B177</f>
        <v>21.4855175</v>
      </c>
      <c r="F154" s="521">
        <f>(AU16+AV16+AW16)/B177</f>
        <v>33.881968749999999</v>
      </c>
      <c r="G154" s="521">
        <f>(BI16+BC20+BD16-BB13)/B177</f>
        <v>22.006968749999999</v>
      </c>
      <c r="H154" s="528"/>
      <c r="AZ154" s="225"/>
      <c r="BA154" s="203"/>
      <c r="BB154" s="203"/>
      <c r="BC154" s="203"/>
      <c r="BD154" s="203"/>
      <c r="BE154" s="203"/>
      <c r="BF154" s="203"/>
      <c r="BG154" s="203"/>
      <c r="BH154" s="203"/>
      <c r="BI154" s="203"/>
      <c r="BJ154" s="203"/>
      <c r="BK154" s="203"/>
    </row>
    <row r="155" spans="1:63" x14ac:dyDescent="0.25">
      <c r="B155" s="527" t="s">
        <v>415</v>
      </c>
      <c r="C155" s="521">
        <f>C153+C154</f>
        <v>84.481968749999993</v>
      </c>
      <c r="D155" s="521">
        <f>D153+D154</f>
        <v>63.2355175</v>
      </c>
      <c r="E155" s="521">
        <f>E153+E154</f>
        <v>46.810517500000003</v>
      </c>
      <c r="F155" s="521">
        <f t="shared" ref="F155:G155" si="10">F153+F154</f>
        <v>72.231968749999993</v>
      </c>
      <c r="G155" s="521">
        <f t="shared" si="10"/>
        <v>49.48196875</v>
      </c>
      <c r="H155" s="528"/>
      <c r="AZ155" s="225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</row>
    <row r="156" spans="1:63" x14ac:dyDescent="0.25">
      <c r="B156" s="527"/>
      <c r="C156" s="513">
        <v>1</v>
      </c>
      <c r="D156" s="522">
        <f>($C155-D155)/$C155+$C156</f>
        <v>1.2514909579447981</v>
      </c>
      <c r="E156" s="522">
        <f t="shared" ref="E156:G156" si="11">($C155-E155)/$C155+$C156</f>
        <v>1.4459111430212732</v>
      </c>
      <c r="F156" s="522">
        <f t="shared" si="11"/>
        <v>1.1450013556886953</v>
      </c>
      <c r="G156" s="522">
        <f t="shared" si="11"/>
        <v>1.4142895876819868</v>
      </c>
      <c r="H156" s="529">
        <v>1</v>
      </c>
      <c r="AZ156" s="225"/>
      <c r="BA156" s="203"/>
      <c r="BB156" s="203"/>
      <c r="BC156" s="203"/>
      <c r="BD156" s="203"/>
      <c r="BE156" s="203"/>
      <c r="BF156" s="203"/>
      <c r="BG156" s="203"/>
      <c r="BH156" s="203"/>
      <c r="BI156" s="203"/>
      <c r="BJ156" s="203"/>
      <c r="BK156" s="203"/>
    </row>
    <row r="157" spans="1:63" x14ac:dyDescent="0.25">
      <c r="B157" s="527"/>
      <c r="C157" s="606" t="s">
        <v>64</v>
      </c>
      <c r="D157" s="604"/>
      <c r="E157" s="604"/>
      <c r="F157" s="604"/>
      <c r="G157" s="604"/>
      <c r="H157" s="609"/>
      <c r="AZ157" s="225"/>
      <c r="BA157" s="203"/>
      <c r="BB157" s="203"/>
      <c r="BC157" s="203"/>
      <c r="BD157" s="203"/>
      <c r="BE157" s="203"/>
      <c r="BF157" s="203"/>
      <c r="BG157" s="203"/>
      <c r="BH157" s="203"/>
      <c r="BI157" s="203"/>
      <c r="BJ157" s="203"/>
      <c r="BK157" s="203"/>
    </row>
    <row r="158" spans="1:63" x14ac:dyDescent="0.25">
      <c r="B158" s="527" t="s">
        <v>42</v>
      </c>
      <c r="C158" s="201">
        <f>SUM('Ausgabe Mengenbilanzen'!C30:C40)</f>
        <v>-34977.918124999997</v>
      </c>
      <c r="D158" s="201">
        <f>SUM('Ausgabe Mengenbilanzen'!D30:D40)</f>
        <v>-32154.888755</v>
      </c>
      <c r="E158" s="201">
        <f>SUM('Ausgabe Mengenbilanzen'!E30:E40)</f>
        <v>-50048.990625000006</v>
      </c>
      <c r="F158" s="523">
        <f>SUM('Ausgabe Mengenbilanzen'!H30:H40)</f>
        <v>-40740.139937500004</v>
      </c>
      <c r="G158" s="523">
        <f>SUM('Ausgabe Mengenbilanzen'!I30:I40)</f>
        <v>-66305.1953125</v>
      </c>
      <c r="H158" s="529"/>
      <c r="AZ158" s="225"/>
      <c r="BA158" s="203"/>
      <c r="BB158" s="203"/>
      <c r="BC158" s="203"/>
      <c r="BD158" s="203"/>
      <c r="BE158" s="203"/>
      <c r="BF158" s="203"/>
      <c r="BG158" s="203"/>
      <c r="BH158" s="203"/>
      <c r="BI158" s="203"/>
      <c r="BJ158" s="203"/>
      <c r="BK158" s="203"/>
    </row>
    <row r="159" spans="1:63" x14ac:dyDescent="0.25">
      <c r="B159" s="527" t="s">
        <v>133</v>
      </c>
      <c r="C159" s="201">
        <f>SUM('Ausgabe Mengenbilanzen'!C41:C43)</f>
        <v>0</v>
      </c>
      <c r="D159" s="201">
        <f>SUM('Ausgabe Mengenbilanzen'!D41:D43)</f>
        <v>43641.772899999996</v>
      </c>
      <c r="E159" s="201">
        <f>SUM('Ausgabe Mengenbilanzen'!E41:E43)</f>
        <v>157649.625</v>
      </c>
      <c r="F159" s="523">
        <f>SUM('Ausgabe Mengenbilanzen'!H41:H43)</f>
        <v>52628.10125</v>
      </c>
      <c r="G159" s="523">
        <f>SUM('Ausgabe Mengenbilanzen'!I41:I43)</f>
        <v>217895.3125</v>
      </c>
      <c r="H159" s="529"/>
      <c r="AZ159" s="225"/>
      <c r="BA159" s="203"/>
      <c r="BB159" s="203"/>
      <c r="BC159" s="203"/>
      <c r="BD159" s="203"/>
      <c r="BE159" s="203"/>
      <c r="BF159" s="203"/>
      <c r="BG159" s="203"/>
      <c r="BH159" s="203"/>
      <c r="BI159" s="203"/>
      <c r="BJ159" s="203"/>
      <c r="BK159" s="203"/>
    </row>
    <row r="160" spans="1:63" x14ac:dyDescent="0.25">
      <c r="B160" s="527" t="s">
        <v>415</v>
      </c>
      <c r="C160" s="523">
        <f>C158+C159</f>
        <v>-34977.918124999997</v>
      </c>
      <c r="D160" s="523">
        <f>D158+D159</f>
        <v>11486.884144999996</v>
      </c>
      <c r="E160" s="523">
        <f>E158+E159</f>
        <v>107600.63437499999</v>
      </c>
      <c r="F160" s="523">
        <f t="shared" ref="F160:G160" si="12">F158+F159</f>
        <v>11887.961312499996</v>
      </c>
      <c r="G160" s="523">
        <f t="shared" si="12"/>
        <v>151590.1171875</v>
      </c>
      <c r="H160" s="529"/>
      <c r="AZ160" s="225"/>
      <c r="BA160" s="203"/>
      <c r="BB160" s="203"/>
      <c r="BC160" s="203"/>
      <c r="BD160" s="203"/>
      <c r="BE160" s="203"/>
      <c r="BF160" s="203"/>
      <c r="BG160" s="203"/>
      <c r="BH160" s="203"/>
      <c r="BI160" s="203"/>
      <c r="BJ160" s="203"/>
      <c r="BK160" s="203"/>
    </row>
    <row r="161" spans="2:63" x14ac:dyDescent="0.25">
      <c r="B161" s="527"/>
      <c r="C161" s="513">
        <v>1</v>
      </c>
      <c r="D161" s="522">
        <f>($C160-D160)/$C160+$C161</f>
        <v>2.3284038833857839</v>
      </c>
      <c r="E161" s="522">
        <f t="shared" ref="E161:G161" si="13">($C160-E160)/$C160+$C161</f>
        <v>5.0762446750109431</v>
      </c>
      <c r="F161" s="522">
        <f t="shared" si="13"/>
        <v>2.3398704654181017</v>
      </c>
      <c r="G161" s="522">
        <f t="shared" si="13"/>
        <v>6.333880496997133</v>
      </c>
      <c r="H161" s="529">
        <v>1</v>
      </c>
      <c r="AZ161" s="225"/>
      <c r="BA161" s="203"/>
      <c r="BB161" s="203"/>
      <c r="BC161" s="203"/>
      <c r="BD161" s="203"/>
      <c r="BE161" s="203"/>
      <c r="BF161" s="203"/>
      <c r="BG161" s="203"/>
      <c r="BH161" s="203"/>
      <c r="BI161" s="203"/>
      <c r="BJ161" s="203"/>
      <c r="BK161" s="203"/>
    </row>
    <row r="162" spans="2:63" x14ac:dyDescent="0.25">
      <c r="B162" s="527"/>
      <c r="C162" s="606" t="s">
        <v>65</v>
      </c>
      <c r="D162" s="604"/>
      <c r="E162" s="604"/>
      <c r="F162" s="604"/>
      <c r="G162" s="604"/>
      <c r="H162" s="609"/>
      <c r="AZ162" s="225"/>
      <c r="BA162" s="203"/>
      <c r="BB162" s="203"/>
      <c r="BC162" s="203"/>
      <c r="BD162" s="203"/>
      <c r="BE162" s="203"/>
      <c r="BF162" s="203"/>
      <c r="BG162" s="203"/>
      <c r="BH162" s="203"/>
      <c r="BI162" s="203"/>
      <c r="BJ162" s="203"/>
      <c r="BK162" s="203"/>
    </row>
    <row r="163" spans="2:63" x14ac:dyDescent="0.25">
      <c r="B163" s="527" t="s">
        <v>42</v>
      </c>
      <c r="C163" s="201">
        <f>SUM('Ausgabe Mengenbilanzen'!C19:C21)</f>
        <v>-5018.75</v>
      </c>
      <c r="D163" s="201">
        <f>SUM('Ausgabe Mengenbilanzen'!D19:D21)</f>
        <v>-1069.4025000000001</v>
      </c>
      <c r="E163" s="201">
        <f>SUM('Ausgabe Mengenbilanzen'!E19:E21)</f>
        <v>-6152.4764999999998</v>
      </c>
      <c r="F163" s="523">
        <f>SUM('Ausgabe Mengenbilanzen'!H19:H21)</f>
        <v>-1485.28125</v>
      </c>
      <c r="G163" s="523">
        <f>SUM('Ausgabe Mengenbilanzen'!I19:I21)</f>
        <v>-8545.1062500000007</v>
      </c>
      <c r="H163" s="529"/>
      <c r="AZ163" s="225"/>
      <c r="BA163" s="203"/>
      <c r="BB163" s="203"/>
      <c r="BC163" s="203"/>
      <c r="BD163" s="203"/>
      <c r="BE163" s="203"/>
      <c r="BF163" s="203"/>
      <c r="BG163" s="203"/>
      <c r="BH163" s="203"/>
      <c r="BI163" s="203"/>
      <c r="BJ163" s="203"/>
      <c r="BK163" s="203"/>
    </row>
    <row r="164" spans="2:63" x14ac:dyDescent="0.25">
      <c r="B164" s="527" t="s">
        <v>133</v>
      </c>
      <c r="C164" s="201">
        <f>SUM('Ausgabe Mengenbilanzen'!C24:C25)</f>
        <v>0</v>
      </c>
      <c r="D164" s="201">
        <f>SUM('Ausgabe Mengenbilanzen'!D24:D25)</f>
        <v>3136.0500000000011</v>
      </c>
      <c r="E164" s="201">
        <f>SUM('Ausgabe Mengenbilanzen'!E24:E25)</f>
        <v>19098.990000000002</v>
      </c>
      <c r="F164" s="523">
        <f>SUM('Ausgabe Mengenbilanzen'!H24:H25)</f>
        <v>4355.625</v>
      </c>
      <c r="G164" s="523">
        <f>SUM('Ausgabe Mengenbilanzen'!I24:I25)</f>
        <v>26526.375</v>
      </c>
      <c r="H164" s="529"/>
      <c r="AZ164" s="225"/>
      <c r="BA164" s="203"/>
      <c r="BB164" s="203"/>
      <c r="BC164" s="203"/>
      <c r="BD164" s="203"/>
      <c r="BE164" s="203"/>
      <c r="BF164" s="203"/>
      <c r="BG164" s="203"/>
      <c r="BH164" s="203"/>
      <c r="BI164" s="203"/>
      <c r="BJ164" s="203"/>
      <c r="BK164" s="203"/>
    </row>
    <row r="165" spans="2:63" x14ac:dyDescent="0.25">
      <c r="B165" s="527" t="s">
        <v>415</v>
      </c>
      <c r="C165" s="523">
        <f>C163+C164</f>
        <v>-5018.75</v>
      </c>
      <c r="D165" s="523">
        <f>D163+D164</f>
        <v>2066.6475000000009</v>
      </c>
      <c r="E165" s="523">
        <f>E163+E164</f>
        <v>12946.513500000001</v>
      </c>
      <c r="F165" s="523">
        <f t="shared" ref="F165:G165" si="14">F163+F164</f>
        <v>2870.34375</v>
      </c>
      <c r="G165" s="523">
        <f t="shared" si="14"/>
        <v>17981.268749999999</v>
      </c>
      <c r="H165" s="529"/>
      <c r="AZ165" s="225"/>
      <c r="BA165" s="203"/>
      <c r="BB165" s="203"/>
      <c r="BC165" s="203"/>
      <c r="BD165" s="203"/>
      <c r="BE165" s="203"/>
      <c r="BF165" s="203"/>
      <c r="BG165" s="203"/>
      <c r="BH165" s="203"/>
      <c r="BI165" s="203"/>
      <c r="BJ165" s="203"/>
      <c r="BK165" s="203"/>
    </row>
    <row r="166" spans="2:63" x14ac:dyDescent="0.25">
      <c r="B166" s="527"/>
      <c r="C166" s="513">
        <v>1</v>
      </c>
      <c r="D166" s="522">
        <f>($C165-D165)/$C165+$C166</f>
        <v>2.4117853051058535</v>
      </c>
      <c r="E166" s="522">
        <f t="shared" ref="E166:G166" si="15">($C165-E165)/$C165+$C166</f>
        <v>4.5796290909090906</v>
      </c>
      <c r="F166" s="522">
        <f t="shared" si="15"/>
        <v>2.57192403486924</v>
      </c>
      <c r="G166" s="522">
        <f t="shared" si="15"/>
        <v>5.5828181818181815</v>
      </c>
      <c r="H166" s="529">
        <v>1</v>
      </c>
      <c r="AZ166" s="225"/>
      <c r="BA166" s="203"/>
      <c r="BB166" s="203"/>
      <c r="BC166" s="203"/>
      <c r="BD166" s="203"/>
      <c r="BE166" s="203"/>
      <c r="BF166" s="203"/>
      <c r="BG166" s="203"/>
      <c r="BH166" s="203"/>
      <c r="BI166" s="203"/>
      <c r="BJ166" s="203"/>
      <c r="BK166" s="203"/>
    </row>
    <row r="167" spans="2:63" x14ac:dyDescent="0.25">
      <c r="B167" s="527"/>
      <c r="C167" s="606" t="s">
        <v>400</v>
      </c>
      <c r="D167" s="604"/>
      <c r="E167" s="604"/>
      <c r="F167" s="604"/>
      <c r="G167" s="604"/>
      <c r="H167" s="609"/>
      <c r="AZ167" s="225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</row>
    <row r="168" spans="2:63" ht="15.75" thickBot="1" x14ac:dyDescent="0.3">
      <c r="B168" s="530" t="s">
        <v>415</v>
      </c>
      <c r="C168" s="531">
        <f>'Ausgabe Kostenbilanzen'!C14</f>
        <v>150.892421875</v>
      </c>
      <c r="D168" s="531">
        <f>'Ausgabe Kostenbilanzen'!D14</f>
        <v>140.34002879824999</v>
      </c>
      <c r="E168" s="531">
        <f>'Ausgabe Kostenbilanzen'!E14</f>
        <v>140.91660111249999</v>
      </c>
      <c r="F168" s="531">
        <f>'Ausgabe Kostenbilanzen'!H14</f>
        <v>155.80279694374997</v>
      </c>
      <c r="G168" s="531">
        <f>'Ausgabe Kostenbilanzen'!I14</f>
        <v>176.7530710625</v>
      </c>
      <c r="H168" s="532"/>
    </row>
    <row r="169" spans="2:63" ht="15.75" thickTop="1" x14ac:dyDescent="0.25">
      <c r="B169"/>
      <c r="C169"/>
    </row>
    <row r="170" spans="2:63" ht="15.75" thickBot="1" x14ac:dyDescent="0.3">
      <c r="B170"/>
      <c r="C170"/>
    </row>
    <row r="171" spans="2:63" ht="15.75" thickTop="1" x14ac:dyDescent="0.25">
      <c r="B171" s="524"/>
      <c r="C171" s="534" t="s">
        <v>837</v>
      </c>
      <c r="D171" s="534" t="s">
        <v>648</v>
      </c>
      <c r="E171" s="534" t="s">
        <v>649</v>
      </c>
      <c r="F171" s="525" t="s">
        <v>13</v>
      </c>
      <c r="G171" s="526" t="s">
        <v>51</v>
      </c>
    </row>
    <row r="172" spans="2:63" x14ac:dyDescent="0.25">
      <c r="B172" s="527" t="s">
        <v>68</v>
      </c>
      <c r="C172" s="519">
        <f>(C156*$H$156+C161*$H$161+C166*$H$166)/SUM($H$156,$H$161,$H$166)</f>
        <v>1</v>
      </c>
      <c r="D172" s="519">
        <f>(D156*$H$156+D161*$H$161+D166*$H$166)/SUM($H$156,$H$161,$H$166)</f>
        <v>1.9972267154788117</v>
      </c>
      <c r="E172" s="519">
        <f>(E156*$H$156+E161*$H$161+E166*$H$166)/SUM($H$156,$H$161,$H$166)</f>
        <v>3.7005949696471023</v>
      </c>
      <c r="F172" s="519">
        <f>(F156*$H$156+F161*$H$161+F166*$H$166)/SUM($H$156,$H$161,$H$166)</f>
        <v>2.0189319519920121</v>
      </c>
      <c r="G172" s="657">
        <f>(G156*$H$156+G161*$H$161+G166*$H$166)/SUM($H$156,$H$161,$H$166)</f>
        <v>4.4436627554991004</v>
      </c>
    </row>
    <row r="173" spans="2:63" ht="15.75" thickBot="1" x14ac:dyDescent="0.3">
      <c r="B173" s="530" t="s">
        <v>67</v>
      </c>
      <c r="C173" s="724">
        <v>1</v>
      </c>
      <c r="D173" s="724">
        <f>($C168-D168)/$C168+$C173</f>
        <v>1.0699332209373089</v>
      </c>
      <c r="E173" s="724">
        <f>($C168-E168)/$C168+$C173</f>
        <v>1.0661121389566139</v>
      </c>
      <c r="F173" s="967">
        <f>($C168-F168)/$C168+$C173</f>
        <v>0.96745777549506262</v>
      </c>
      <c r="G173" s="533">
        <f>($C168-G168)/$C168+$C173</f>
        <v>0.82861532165662311</v>
      </c>
    </row>
    <row r="174" spans="2:63" ht="15.75" thickTop="1" x14ac:dyDescent="0.25">
      <c r="C174" s="519"/>
      <c r="D174" s="519"/>
      <c r="E174" s="519"/>
      <c r="F174" s="519"/>
      <c r="G174" s="519"/>
    </row>
    <row r="175" spans="2:63" x14ac:dyDescent="0.25">
      <c r="C175" s="519"/>
      <c r="D175" s="519"/>
      <c r="E175" s="519"/>
      <c r="F175" s="519"/>
      <c r="G175" s="519"/>
    </row>
    <row r="177" spans="1:62" ht="17.25" x14ac:dyDescent="0.25">
      <c r="B177" s="518">
        <v>1000000</v>
      </c>
      <c r="C177" t="s">
        <v>917</v>
      </c>
    </row>
    <row r="178" spans="1:62" x14ac:dyDescent="0.25">
      <c r="B178" s="16"/>
      <c r="C178"/>
    </row>
    <row r="180" spans="1:62" s="13" customFormat="1" x14ac:dyDescent="0.25">
      <c r="A180" s="42" t="s">
        <v>653</v>
      </c>
      <c r="B180" s="12"/>
      <c r="C180" s="536"/>
      <c r="O180" s="536"/>
      <c r="AA180" s="536"/>
      <c r="AN180" s="157" t="s">
        <v>54</v>
      </c>
      <c r="AZ180" s="157" t="s">
        <v>45</v>
      </c>
    </row>
    <row r="181" spans="1:62" ht="15.75" thickBot="1" x14ac:dyDescent="0.3"/>
    <row r="182" spans="1:62" ht="15.75" thickTop="1" x14ac:dyDescent="0.25">
      <c r="AN182" s="1042" t="s">
        <v>553</v>
      </c>
      <c r="AO182" s="1043"/>
      <c r="AP182" s="395">
        <f>'Eingabe Eckdaten'!D39</f>
        <v>5000</v>
      </c>
      <c r="AQ182" s="977" t="s">
        <v>556</v>
      </c>
      <c r="AR182" s="977"/>
      <c r="AS182" s="977"/>
      <c r="AT182" s="396">
        <f>'Eingabe Eckdaten'!H39</f>
        <v>650</v>
      </c>
      <c r="AU182" s="977" t="s">
        <v>483</v>
      </c>
      <c r="AV182" s="977"/>
      <c r="AW182" s="977"/>
      <c r="AX182" s="397">
        <f>'Eingabe Eckdaten'!L39</f>
        <v>0.15</v>
      </c>
      <c r="AZ182" s="1042" t="s">
        <v>553</v>
      </c>
      <c r="BA182" s="1043"/>
      <c r="BB182" s="395">
        <f>'Eingabe Eckdaten'!D60</f>
        <v>5000</v>
      </c>
      <c r="BC182" s="977" t="s">
        <v>556</v>
      </c>
      <c r="BD182" s="977"/>
      <c r="BE182" s="977"/>
      <c r="BF182" s="396">
        <f>'Eingabe Eckdaten'!H60</f>
        <v>650</v>
      </c>
      <c r="BG182" s="977" t="s">
        <v>483</v>
      </c>
      <c r="BH182" s="977"/>
      <c r="BI182" s="977"/>
      <c r="BJ182" s="1044" t="s">
        <v>115</v>
      </c>
    </row>
    <row r="183" spans="1:62" x14ac:dyDescent="0.25">
      <c r="AN183" s="1040" t="s">
        <v>448</v>
      </c>
      <c r="AO183" s="1041"/>
      <c r="AP183" s="398">
        <f>'Eingabe Eckdaten'!D40</f>
        <v>0.35</v>
      </c>
      <c r="AQ183" s="974" t="s">
        <v>581</v>
      </c>
      <c r="AR183" s="974"/>
      <c r="AS183" s="974"/>
      <c r="AT183" s="399">
        <f>'Eingabe Eckdaten'!H40</f>
        <v>0.8</v>
      </c>
      <c r="AU183" s="974" t="s">
        <v>212</v>
      </c>
      <c r="AV183" s="974"/>
      <c r="AW183" s="974"/>
      <c r="AX183" s="400">
        <f>'Eingabe Eckdaten'!L40</f>
        <v>0.6</v>
      </c>
      <c r="AZ183" s="1040" t="s">
        <v>448</v>
      </c>
      <c r="BA183" s="1041"/>
      <c r="BB183" s="398">
        <f>'Eingabe Eckdaten'!D61</f>
        <v>0.35</v>
      </c>
      <c r="BC183" s="974" t="s">
        <v>581</v>
      </c>
      <c r="BD183" s="974"/>
      <c r="BE183" s="974"/>
      <c r="BF183" s="399">
        <f>'Eingabe Eckdaten'!H61</f>
        <v>0.8</v>
      </c>
      <c r="BG183" s="974" t="s">
        <v>212</v>
      </c>
      <c r="BH183" s="974"/>
      <c r="BI183" s="974"/>
      <c r="BJ183" s="1045"/>
    </row>
    <row r="184" spans="1:62" x14ac:dyDescent="0.25">
      <c r="AN184" s="1038" t="s">
        <v>487</v>
      </c>
      <c r="AO184" s="1039"/>
      <c r="AP184" s="370">
        <f>AP182*AP183</f>
        <v>1750</v>
      </c>
      <c r="AQ184" s="969" t="s">
        <v>216</v>
      </c>
      <c r="AR184" s="969"/>
      <c r="AS184" s="969"/>
      <c r="AT184" s="401">
        <f>'Eingabe Eckdaten'!H41</f>
        <v>2000</v>
      </c>
      <c r="AU184" s="969" t="s">
        <v>213</v>
      </c>
      <c r="AV184" s="969"/>
      <c r="AW184" s="969"/>
      <c r="AX184" s="402">
        <f>'Eingabe Eckdaten'!L41</f>
        <v>0.4</v>
      </c>
      <c r="AZ184" s="1038" t="s">
        <v>487</v>
      </c>
      <c r="BA184" s="1039"/>
      <c r="BB184" s="370">
        <f>BB182*BB183</f>
        <v>1750</v>
      </c>
      <c r="BC184" s="969" t="s">
        <v>216</v>
      </c>
      <c r="BD184" s="969"/>
      <c r="BE184" s="969"/>
      <c r="BF184" s="401">
        <f>'Eingabe Eckdaten'!H62</f>
        <v>2000</v>
      </c>
      <c r="BG184" s="969" t="s">
        <v>213</v>
      </c>
      <c r="BH184" s="969"/>
      <c r="BI184" s="969"/>
      <c r="BJ184" s="1046"/>
    </row>
    <row r="185" spans="1:62" x14ac:dyDescent="0.25">
      <c r="AN185" s="1036" t="s">
        <v>147</v>
      </c>
      <c r="AO185" s="1037"/>
      <c r="AP185" s="403">
        <f>'Eingabe Eckdaten'!D21</f>
        <v>100</v>
      </c>
      <c r="AQ185" s="970" t="s">
        <v>148</v>
      </c>
      <c r="AR185" s="970"/>
      <c r="AS185" s="970"/>
      <c r="AT185" s="372">
        <f>AP182*AP185</f>
        <v>500000</v>
      </c>
      <c r="AU185" s="970" t="s">
        <v>167</v>
      </c>
      <c r="AV185" s="970"/>
      <c r="AW185" s="970"/>
      <c r="AX185" s="345">
        <f>AT185+AT186*AX186</f>
        <v>625000</v>
      </c>
      <c r="AZ185" s="1036" t="s">
        <v>147</v>
      </c>
      <c r="BA185" s="1037"/>
      <c r="BB185" s="403">
        <f>'Eingabe Eckdaten'!D21</f>
        <v>100</v>
      </c>
      <c r="BC185" s="970" t="s">
        <v>148</v>
      </c>
      <c r="BD185" s="970"/>
      <c r="BE185" s="970"/>
      <c r="BF185" s="372">
        <f>BB182*BB185</f>
        <v>500000</v>
      </c>
      <c r="BG185" s="970" t="s">
        <v>167</v>
      </c>
      <c r="BH185" s="970"/>
      <c r="BI185" s="970"/>
      <c r="BJ185" s="345">
        <f>BF185+BF186*BJ186</f>
        <v>625000</v>
      </c>
    </row>
    <row r="186" spans="1:62" x14ac:dyDescent="0.25">
      <c r="AN186" s="1038" t="s">
        <v>209</v>
      </c>
      <c r="AO186" s="1039"/>
      <c r="AP186" s="403">
        <f>'Eingabe Eckdaten'!D22</f>
        <v>50</v>
      </c>
      <c r="AQ186" s="969" t="s">
        <v>352</v>
      </c>
      <c r="AR186" s="969"/>
      <c r="AS186" s="969"/>
      <c r="AT186" s="374">
        <f>AP182*AP186</f>
        <v>250000</v>
      </c>
      <c r="AU186" s="969" t="s">
        <v>676</v>
      </c>
      <c r="AV186" s="969"/>
      <c r="AW186" s="969"/>
      <c r="AX186" s="404">
        <f>'Eingabe Eckdaten'!L43</f>
        <v>0.5</v>
      </c>
      <c r="AZ186" s="1038" t="s">
        <v>209</v>
      </c>
      <c r="BA186" s="1039"/>
      <c r="BB186" s="403">
        <f>'Eingabe Eckdaten'!D22</f>
        <v>50</v>
      </c>
      <c r="BC186" s="969" t="s">
        <v>352</v>
      </c>
      <c r="BD186" s="969"/>
      <c r="BE186" s="969"/>
      <c r="BF186" s="374">
        <f>BB182*BB186</f>
        <v>250000</v>
      </c>
      <c r="BG186" s="969" t="s">
        <v>676</v>
      </c>
      <c r="BH186" s="969"/>
      <c r="BI186" s="969"/>
      <c r="BJ186" s="404">
        <f>'Eingabe Eckdaten'!L64</f>
        <v>0.5</v>
      </c>
    </row>
    <row r="187" spans="1:62" x14ac:dyDescent="0.25">
      <c r="AN187" s="405" t="s">
        <v>525</v>
      </c>
      <c r="AO187" s="1033" t="s">
        <v>114</v>
      </c>
      <c r="AP187" s="1034"/>
      <c r="AQ187" s="1034"/>
      <c r="AR187" s="1035"/>
      <c r="AS187" s="1029" t="s">
        <v>394</v>
      </c>
      <c r="AT187" s="1030"/>
      <c r="AU187" s="1029" t="s">
        <v>589</v>
      </c>
      <c r="AV187" s="1030"/>
      <c r="AW187" s="1029" t="s">
        <v>240</v>
      </c>
      <c r="AX187" s="1031"/>
      <c r="AZ187" s="405" t="s">
        <v>525</v>
      </c>
      <c r="BA187" s="1033" t="s">
        <v>114</v>
      </c>
      <c r="BB187" s="1034"/>
      <c r="BC187" s="1034"/>
      <c r="BD187" s="1035"/>
      <c r="BE187" s="1029" t="s">
        <v>394</v>
      </c>
      <c r="BF187" s="1030"/>
      <c r="BG187" s="1029" t="s">
        <v>589</v>
      </c>
      <c r="BH187" s="1030"/>
      <c r="BI187" s="1029" t="s">
        <v>240</v>
      </c>
      <c r="BJ187" s="1031"/>
    </row>
    <row r="188" spans="1:62" x14ac:dyDescent="0.25">
      <c r="AN188" s="406"/>
      <c r="AO188" s="1026" t="s">
        <v>219</v>
      </c>
      <c r="AP188" s="1028"/>
      <c r="AQ188" s="1026" t="s">
        <v>220</v>
      </c>
      <c r="AR188" s="1027"/>
      <c r="AS188" s="1026" t="s">
        <v>221</v>
      </c>
      <c r="AT188" s="1027"/>
      <c r="AU188" s="1026" t="s">
        <v>221</v>
      </c>
      <c r="AV188" s="1027"/>
      <c r="AW188" s="1026" t="s">
        <v>221</v>
      </c>
      <c r="AX188" s="1032"/>
      <c r="AZ188" s="406"/>
      <c r="BA188" s="1026" t="s">
        <v>219</v>
      </c>
      <c r="BB188" s="1028"/>
      <c r="BC188" s="1026" t="s">
        <v>220</v>
      </c>
      <c r="BD188" s="1027"/>
      <c r="BE188" s="1026" t="s">
        <v>221</v>
      </c>
      <c r="BF188" s="1027"/>
      <c r="BG188" s="1026" t="s">
        <v>221</v>
      </c>
      <c r="BH188" s="1027"/>
      <c r="BI188" s="1026" t="s">
        <v>221</v>
      </c>
      <c r="BJ188" s="1032"/>
    </row>
    <row r="189" spans="1:62" x14ac:dyDescent="0.25">
      <c r="AN189" s="406" t="s">
        <v>536</v>
      </c>
      <c r="AO189" s="407" t="s">
        <v>537</v>
      </c>
      <c r="AP189" s="377" t="s">
        <v>331</v>
      </c>
      <c r="AQ189" s="407" t="s">
        <v>537</v>
      </c>
      <c r="AR189" s="408" t="s">
        <v>205</v>
      </c>
      <c r="AS189" s="407" t="s">
        <v>537</v>
      </c>
      <c r="AT189" s="408" t="s">
        <v>206</v>
      </c>
      <c r="AU189" s="407" t="s">
        <v>537</v>
      </c>
      <c r="AV189" s="408" t="s">
        <v>206</v>
      </c>
      <c r="AW189" s="407" t="s">
        <v>537</v>
      </c>
      <c r="AX189" s="409" t="s">
        <v>206</v>
      </c>
      <c r="AZ189" s="406" t="s">
        <v>536</v>
      </c>
      <c r="BA189" s="407" t="s">
        <v>537</v>
      </c>
      <c r="BB189" s="377" t="s">
        <v>331</v>
      </c>
      <c r="BC189" s="407" t="s">
        <v>537</v>
      </c>
      <c r="BD189" s="408" t="s">
        <v>205</v>
      </c>
      <c r="BE189" s="407" t="s">
        <v>537</v>
      </c>
      <c r="BF189" s="408" t="s">
        <v>206</v>
      </c>
      <c r="BG189" s="407" t="s">
        <v>537</v>
      </c>
      <c r="BH189" s="408" t="s">
        <v>206</v>
      </c>
      <c r="BI189" s="407" t="s">
        <v>537</v>
      </c>
      <c r="BJ189" s="409" t="s">
        <v>206</v>
      </c>
    </row>
    <row r="190" spans="1:62" x14ac:dyDescent="0.25">
      <c r="AN190" s="410" t="s">
        <v>718</v>
      </c>
      <c r="AO190" s="411">
        <f t="shared" ref="AO190:AO196" si="16">IF(AP190=0,0,AP190/$AP$197*100)</f>
        <v>5.8823529411764701</v>
      </c>
      <c r="AP190" s="413">
        <f>'Eingabe Eckdaten'!D47</f>
        <v>2</v>
      </c>
      <c r="AQ190" s="411">
        <f t="shared" ref="AQ190:AQ196" si="17">IF(AR190=0,0,AR190/$AR$197*100)</f>
        <v>5.5555555555555554</v>
      </c>
      <c r="AR190" s="414">
        <f>'Eingabe Eckdaten'!F47</f>
        <v>0.5</v>
      </c>
      <c r="AS190" s="411">
        <f t="shared" ref="AS190:AS196" si="18">IF(AT190=0,0,AT190/$AT$197*100)</f>
        <v>0</v>
      </c>
      <c r="AT190" s="414">
        <f>'Eingabe Eckdaten'!H47</f>
        <v>0</v>
      </c>
      <c r="AU190" s="411">
        <f t="shared" ref="AU190:AU196" si="19">IF(AV190=0,0,AV190/$AV$197*100)</f>
        <v>0</v>
      </c>
      <c r="AV190" s="414">
        <f>'Eingabe Eckdaten'!J47</f>
        <v>0</v>
      </c>
      <c r="AW190" s="411">
        <f t="shared" ref="AW190:AW196" si="20">IF(AX190=0,0,AX190/$AX$197*100)</f>
        <v>5.0505050505050502</v>
      </c>
      <c r="AX190" s="412">
        <f t="shared" ref="AX190:AX196" si="21">AP190+AR190+AT190+AV190</f>
        <v>2.5</v>
      </c>
      <c r="AZ190" s="410" t="s">
        <v>718</v>
      </c>
      <c r="BA190" s="411">
        <f t="shared" ref="BA190:BA196" si="22">IF(BB190=0,0,BB190/$BB$197*100)</f>
        <v>12.5</v>
      </c>
      <c r="BB190" s="413">
        <f>'Eingabe Eckdaten'!D68</f>
        <v>2</v>
      </c>
      <c r="BC190" s="411">
        <f t="shared" ref="BC190:BC196" si="23">IF(BD190=0,0,BD190/$BD$197*100)</f>
        <v>33.333333333333329</v>
      </c>
      <c r="BD190" s="414">
        <f>'Eingabe Eckdaten'!F68</f>
        <v>0.5</v>
      </c>
      <c r="BE190" s="411">
        <f t="shared" ref="BE190:BE196" si="24">IF(BF190=0,0,BF190/$BF$197*100)</f>
        <v>0</v>
      </c>
      <c r="BF190" s="414">
        <f>'Eingabe Eckdaten'!H68</f>
        <v>0</v>
      </c>
      <c r="BG190" s="411">
        <f t="shared" ref="BG190:BG196" si="25">IF(BH190=0,0,BH190/$BH$197*100)</f>
        <v>0</v>
      </c>
      <c r="BH190" s="414">
        <f>'Eingabe Eckdaten'!J68</f>
        <v>0</v>
      </c>
      <c r="BI190" s="411">
        <f t="shared" ref="BI190:BI196" si="26">IF(BJ190=0,0,BJ190/$BJ$197*100)</f>
        <v>6.756756756756757</v>
      </c>
      <c r="BJ190" s="412">
        <f t="shared" ref="BJ190:BJ196" si="27">BB190+BD190+BF190+BH190</f>
        <v>2.5</v>
      </c>
    </row>
    <row r="191" spans="1:62" x14ac:dyDescent="0.25">
      <c r="AN191" s="410" t="s">
        <v>455</v>
      </c>
      <c r="AO191" s="411">
        <f t="shared" si="16"/>
        <v>35.294117647058826</v>
      </c>
      <c r="AP191" s="413">
        <f>'Eingabe Eckdaten'!D48</f>
        <v>12</v>
      </c>
      <c r="AQ191" s="411">
        <f t="shared" si="17"/>
        <v>5.5555555555555554</v>
      </c>
      <c r="AR191" s="414">
        <f>'Eingabe Eckdaten'!F48</f>
        <v>0.5</v>
      </c>
      <c r="AS191" s="411">
        <f t="shared" si="18"/>
        <v>0</v>
      </c>
      <c r="AT191" s="414">
        <f>'Eingabe Eckdaten'!H48</f>
        <v>0</v>
      </c>
      <c r="AU191" s="411">
        <f t="shared" si="19"/>
        <v>0</v>
      </c>
      <c r="AV191" s="414">
        <f>'Eingabe Eckdaten'!J48</f>
        <v>0</v>
      </c>
      <c r="AW191" s="411">
        <f t="shared" si="20"/>
        <v>25.252525252525253</v>
      </c>
      <c r="AX191" s="412">
        <f t="shared" si="21"/>
        <v>12.5</v>
      </c>
      <c r="AZ191" s="410" t="s">
        <v>455</v>
      </c>
      <c r="BA191" s="411">
        <f t="shared" si="22"/>
        <v>75</v>
      </c>
      <c r="BB191" s="413">
        <f>'Eingabe Eckdaten'!D69</f>
        <v>12</v>
      </c>
      <c r="BC191" s="411">
        <f t="shared" si="23"/>
        <v>33.333333333333329</v>
      </c>
      <c r="BD191" s="414">
        <f>'Eingabe Eckdaten'!F69</f>
        <v>0.5</v>
      </c>
      <c r="BE191" s="411">
        <f t="shared" si="24"/>
        <v>0</v>
      </c>
      <c r="BF191" s="414">
        <f>'Eingabe Eckdaten'!H69</f>
        <v>0</v>
      </c>
      <c r="BG191" s="411">
        <f t="shared" si="25"/>
        <v>0</v>
      </c>
      <c r="BH191" s="414">
        <f>'Eingabe Eckdaten'!J69</f>
        <v>0</v>
      </c>
      <c r="BI191" s="411">
        <f t="shared" si="26"/>
        <v>33.783783783783782</v>
      </c>
      <c r="BJ191" s="412">
        <f t="shared" si="27"/>
        <v>12.5</v>
      </c>
    </row>
    <row r="192" spans="1:62" x14ac:dyDescent="0.25">
      <c r="AN192" s="410" t="s">
        <v>570</v>
      </c>
      <c r="AO192" s="411">
        <f t="shared" si="16"/>
        <v>5.8823529411764701</v>
      </c>
      <c r="AP192" s="413">
        <f>'Eingabe Eckdaten'!D49</f>
        <v>2</v>
      </c>
      <c r="AQ192" s="411">
        <f t="shared" si="17"/>
        <v>5.5555555555555554</v>
      </c>
      <c r="AR192" s="414">
        <f>'Eingabe Eckdaten'!F49</f>
        <v>0.5</v>
      </c>
      <c r="AS192" s="411">
        <f t="shared" si="18"/>
        <v>0</v>
      </c>
      <c r="AT192" s="414">
        <f>'Eingabe Eckdaten'!H49</f>
        <v>0</v>
      </c>
      <c r="AU192" s="411">
        <f t="shared" si="19"/>
        <v>0</v>
      </c>
      <c r="AV192" s="414">
        <f>'Eingabe Eckdaten'!J49</f>
        <v>0</v>
      </c>
      <c r="AW192" s="411">
        <f t="shared" si="20"/>
        <v>5.0505050505050502</v>
      </c>
      <c r="AX192" s="412">
        <f t="shared" si="21"/>
        <v>2.5</v>
      </c>
      <c r="AZ192" s="410" t="s">
        <v>570</v>
      </c>
      <c r="BA192" s="411">
        <f t="shared" si="22"/>
        <v>12.5</v>
      </c>
      <c r="BB192" s="413">
        <f>'Eingabe Eckdaten'!D70</f>
        <v>2</v>
      </c>
      <c r="BC192" s="411">
        <f t="shared" si="23"/>
        <v>33.333333333333329</v>
      </c>
      <c r="BD192" s="414">
        <f>'Eingabe Eckdaten'!F70</f>
        <v>0.5</v>
      </c>
      <c r="BE192" s="411">
        <f t="shared" si="24"/>
        <v>0</v>
      </c>
      <c r="BF192" s="414">
        <f>'Eingabe Eckdaten'!H70</f>
        <v>0</v>
      </c>
      <c r="BG192" s="411">
        <f t="shared" si="25"/>
        <v>0</v>
      </c>
      <c r="BH192" s="414">
        <f>'Eingabe Eckdaten'!J70</f>
        <v>0</v>
      </c>
      <c r="BI192" s="411">
        <f t="shared" si="26"/>
        <v>6.756756756756757</v>
      </c>
      <c r="BJ192" s="412">
        <f t="shared" si="27"/>
        <v>2.5</v>
      </c>
    </row>
    <row r="193" spans="40:62" x14ac:dyDescent="0.25">
      <c r="AN193" s="410" t="s">
        <v>668</v>
      </c>
      <c r="AO193" s="411">
        <f t="shared" si="16"/>
        <v>11.76470588235294</v>
      </c>
      <c r="AP193" s="413">
        <f>'Eingabe Eckdaten'!D50</f>
        <v>4</v>
      </c>
      <c r="AQ193" s="411">
        <f t="shared" si="17"/>
        <v>0</v>
      </c>
      <c r="AR193" s="414">
        <f>'Eingabe Eckdaten'!F50</f>
        <v>0</v>
      </c>
      <c r="AS193" s="411">
        <f t="shared" si="18"/>
        <v>0</v>
      </c>
      <c r="AT193" s="414">
        <f>'Eingabe Eckdaten'!H50</f>
        <v>0</v>
      </c>
      <c r="AU193" s="411">
        <f t="shared" si="19"/>
        <v>0</v>
      </c>
      <c r="AV193" s="414">
        <f>'Eingabe Eckdaten'!J50</f>
        <v>0</v>
      </c>
      <c r="AW193" s="411">
        <f t="shared" si="20"/>
        <v>8.0808080808080813</v>
      </c>
      <c r="AX193" s="412">
        <f t="shared" si="21"/>
        <v>4</v>
      </c>
      <c r="AZ193" s="410" t="s">
        <v>668</v>
      </c>
      <c r="BA193" s="411">
        <f t="shared" si="22"/>
        <v>0</v>
      </c>
      <c r="BB193" s="413">
        <f>'Eingabe Eckdaten'!D71</f>
        <v>0</v>
      </c>
      <c r="BC193" s="411">
        <f t="shared" si="23"/>
        <v>0</v>
      </c>
      <c r="BD193" s="414">
        <f>'Eingabe Eckdaten'!F71</f>
        <v>0</v>
      </c>
      <c r="BE193" s="411">
        <f t="shared" si="24"/>
        <v>12.5</v>
      </c>
      <c r="BF193" s="414">
        <f>'Eingabe Eckdaten'!H71</f>
        <v>1</v>
      </c>
      <c r="BG193" s="411">
        <f t="shared" si="25"/>
        <v>26.086956521739129</v>
      </c>
      <c r="BH193" s="414">
        <f>'Eingabe Eckdaten'!J71</f>
        <v>3</v>
      </c>
      <c r="BI193" s="411">
        <f t="shared" si="26"/>
        <v>10.810810810810811</v>
      </c>
      <c r="BJ193" s="412">
        <f t="shared" si="27"/>
        <v>4</v>
      </c>
    </row>
    <row r="194" spans="40:62" x14ac:dyDescent="0.25">
      <c r="AN194" s="410" t="s">
        <v>453</v>
      </c>
      <c r="AO194" s="411">
        <f t="shared" si="16"/>
        <v>26.47058823529412</v>
      </c>
      <c r="AP194" s="413">
        <f>'Eingabe Eckdaten'!D51</f>
        <v>9</v>
      </c>
      <c r="AQ194" s="411">
        <f t="shared" si="17"/>
        <v>50</v>
      </c>
      <c r="AR194" s="414">
        <f>'Eingabe Eckdaten'!F51</f>
        <v>4.5</v>
      </c>
      <c r="AS194" s="411">
        <f t="shared" si="18"/>
        <v>30.76923076923077</v>
      </c>
      <c r="AT194" s="414">
        <f>'Eingabe Eckdaten'!H51</f>
        <v>2</v>
      </c>
      <c r="AU194" s="411">
        <f t="shared" si="19"/>
        <v>0</v>
      </c>
      <c r="AV194" s="414">
        <f>'Eingabe Eckdaten'!J51</f>
        <v>0</v>
      </c>
      <c r="AW194" s="411">
        <f t="shared" si="20"/>
        <v>31.313131313131315</v>
      </c>
      <c r="AX194" s="412">
        <f t="shared" si="21"/>
        <v>15.5</v>
      </c>
      <c r="AZ194" s="410" t="s">
        <v>453</v>
      </c>
      <c r="BA194" s="411">
        <f t="shared" si="22"/>
        <v>0</v>
      </c>
      <c r="BB194" s="413">
        <f>'Eingabe Eckdaten'!D72</f>
        <v>0</v>
      </c>
      <c r="BC194" s="411">
        <f t="shared" si="23"/>
        <v>0</v>
      </c>
      <c r="BD194" s="414">
        <f>'Eingabe Eckdaten'!F72</f>
        <v>0</v>
      </c>
      <c r="BE194" s="411">
        <f t="shared" si="24"/>
        <v>12.5</v>
      </c>
      <c r="BF194" s="414">
        <f>'Eingabe Eckdaten'!H72</f>
        <v>1</v>
      </c>
      <c r="BG194" s="411">
        <f t="shared" si="25"/>
        <v>17.391304347826086</v>
      </c>
      <c r="BH194" s="414">
        <f>'Eingabe Eckdaten'!J72</f>
        <v>2</v>
      </c>
      <c r="BI194" s="411">
        <f t="shared" si="26"/>
        <v>8.1081081081081088</v>
      </c>
      <c r="BJ194" s="412">
        <f t="shared" si="27"/>
        <v>3</v>
      </c>
    </row>
    <row r="195" spans="40:62" x14ac:dyDescent="0.25">
      <c r="AN195" s="410" t="s">
        <v>719</v>
      </c>
      <c r="AO195" s="411">
        <f t="shared" si="16"/>
        <v>8.8235294117647065</v>
      </c>
      <c r="AP195" s="413">
        <f>'Eingabe Eckdaten'!D52</f>
        <v>3</v>
      </c>
      <c r="AQ195" s="411">
        <f t="shared" si="17"/>
        <v>22.222222222222221</v>
      </c>
      <c r="AR195" s="414">
        <f>'Eingabe Eckdaten'!F52</f>
        <v>2</v>
      </c>
      <c r="AS195" s="411">
        <f t="shared" si="18"/>
        <v>7.6923076923076925</v>
      </c>
      <c r="AT195" s="414">
        <f>'Eingabe Eckdaten'!H52</f>
        <v>0.5</v>
      </c>
      <c r="AU195" s="411">
        <f t="shared" si="19"/>
        <v>0</v>
      </c>
      <c r="AV195" s="414">
        <f>'Eingabe Eckdaten'!J52</f>
        <v>0</v>
      </c>
      <c r="AW195" s="411">
        <f t="shared" si="20"/>
        <v>11.111111111111111</v>
      </c>
      <c r="AX195" s="412">
        <f t="shared" si="21"/>
        <v>5.5</v>
      </c>
      <c r="AZ195" s="410" t="s">
        <v>719</v>
      </c>
      <c r="BA195" s="411">
        <f t="shared" si="22"/>
        <v>0</v>
      </c>
      <c r="BB195" s="413">
        <f>'Eingabe Eckdaten'!D73</f>
        <v>0</v>
      </c>
      <c r="BC195" s="411">
        <f t="shared" si="23"/>
        <v>0</v>
      </c>
      <c r="BD195" s="414">
        <f>'Eingabe Eckdaten'!F73</f>
        <v>0</v>
      </c>
      <c r="BE195" s="411">
        <f t="shared" si="24"/>
        <v>12.5</v>
      </c>
      <c r="BF195" s="414">
        <f>'Eingabe Eckdaten'!H73</f>
        <v>1</v>
      </c>
      <c r="BG195" s="411">
        <f t="shared" si="25"/>
        <v>39.130434782608695</v>
      </c>
      <c r="BH195" s="414">
        <f>'Eingabe Eckdaten'!J73</f>
        <v>4.5</v>
      </c>
      <c r="BI195" s="411">
        <f t="shared" si="26"/>
        <v>14.864864864864865</v>
      </c>
      <c r="BJ195" s="412">
        <f t="shared" si="27"/>
        <v>5.5</v>
      </c>
    </row>
    <row r="196" spans="40:62" x14ac:dyDescent="0.25">
      <c r="AN196" s="415" t="s">
        <v>628</v>
      </c>
      <c r="AO196" s="417">
        <f t="shared" si="16"/>
        <v>5.8823529411764701</v>
      </c>
      <c r="AP196" s="413">
        <f>'Eingabe Eckdaten'!D53</f>
        <v>2</v>
      </c>
      <c r="AQ196" s="411">
        <f t="shared" si="17"/>
        <v>11.111111111111111</v>
      </c>
      <c r="AR196" s="414">
        <f>'Eingabe Eckdaten'!F53</f>
        <v>1</v>
      </c>
      <c r="AS196" s="417">
        <f t="shared" si="18"/>
        <v>61.53846153846154</v>
      </c>
      <c r="AT196" s="418">
        <f>'Eingabe Eckdaten'!H53</f>
        <v>4</v>
      </c>
      <c r="AU196" s="417">
        <f t="shared" si="19"/>
        <v>0</v>
      </c>
      <c r="AV196" s="418">
        <f>'Eingabe Eckdaten'!J53</f>
        <v>0</v>
      </c>
      <c r="AW196" s="417">
        <f t="shared" si="20"/>
        <v>14.14141414141414</v>
      </c>
      <c r="AX196" s="416">
        <f t="shared" si="21"/>
        <v>7</v>
      </c>
      <c r="AZ196" s="415" t="s">
        <v>628</v>
      </c>
      <c r="BA196" s="417">
        <f t="shared" si="22"/>
        <v>0</v>
      </c>
      <c r="BB196" s="413">
        <f>'Eingabe Eckdaten'!D74</f>
        <v>0</v>
      </c>
      <c r="BC196" s="411">
        <f t="shared" si="23"/>
        <v>0</v>
      </c>
      <c r="BD196" s="414">
        <f>'Eingabe Eckdaten'!F74</f>
        <v>0</v>
      </c>
      <c r="BE196" s="417">
        <f t="shared" si="24"/>
        <v>62.5</v>
      </c>
      <c r="BF196" s="418">
        <f>'Eingabe Eckdaten'!H74</f>
        <v>5</v>
      </c>
      <c r="BG196" s="417">
        <f t="shared" si="25"/>
        <v>17.391304347826086</v>
      </c>
      <c r="BH196" s="418">
        <f>'Eingabe Eckdaten'!J74</f>
        <v>2</v>
      </c>
      <c r="BI196" s="417">
        <f t="shared" si="26"/>
        <v>18.918918918918919</v>
      </c>
      <c r="BJ196" s="416">
        <f t="shared" si="27"/>
        <v>7</v>
      </c>
    </row>
    <row r="197" spans="40:62" ht="15.75" thickBot="1" x14ac:dyDescent="0.3">
      <c r="AN197" s="419" t="s">
        <v>529</v>
      </c>
      <c r="AO197" s="389">
        <f t="shared" ref="AO197:AX197" si="28">SUM(AO190:AO196)</f>
        <v>100</v>
      </c>
      <c r="AP197" s="390">
        <f t="shared" si="28"/>
        <v>34</v>
      </c>
      <c r="AQ197" s="391">
        <f t="shared" si="28"/>
        <v>100</v>
      </c>
      <c r="AR197" s="390">
        <f t="shared" si="28"/>
        <v>9</v>
      </c>
      <c r="AS197" s="392">
        <f t="shared" si="28"/>
        <v>100</v>
      </c>
      <c r="AT197" s="420">
        <f t="shared" si="28"/>
        <v>6.5</v>
      </c>
      <c r="AU197" s="392">
        <f t="shared" si="28"/>
        <v>0</v>
      </c>
      <c r="AV197" s="420">
        <f t="shared" si="28"/>
        <v>0</v>
      </c>
      <c r="AW197" s="392">
        <f t="shared" si="28"/>
        <v>100.00000000000001</v>
      </c>
      <c r="AX197" s="393">
        <f t="shared" si="28"/>
        <v>49.5</v>
      </c>
      <c r="AZ197" s="419" t="s">
        <v>529</v>
      </c>
      <c r="BA197" s="389">
        <f t="shared" ref="BA197:BJ197" si="29">SUM(BA190:BA196)</f>
        <v>100</v>
      </c>
      <c r="BB197" s="390">
        <f t="shared" si="29"/>
        <v>16</v>
      </c>
      <c r="BC197" s="391">
        <f t="shared" si="29"/>
        <v>99.999999999999986</v>
      </c>
      <c r="BD197" s="390">
        <f t="shared" si="29"/>
        <v>1.5</v>
      </c>
      <c r="BE197" s="392">
        <f t="shared" si="29"/>
        <v>100</v>
      </c>
      <c r="BF197" s="420">
        <f t="shared" si="29"/>
        <v>8</v>
      </c>
      <c r="BG197" s="392">
        <f t="shared" si="29"/>
        <v>100</v>
      </c>
      <c r="BH197" s="420">
        <f t="shared" si="29"/>
        <v>11.5</v>
      </c>
      <c r="BI197" s="392">
        <f t="shared" si="29"/>
        <v>100.00000000000001</v>
      </c>
      <c r="BJ197" s="393">
        <f t="shared" si="29"/>
        <v>37</v>
      </c>
    </row>
    <row r="198" spans="40:62" ht="15.75" thickTop="1" x14ac:dyDescent="0.25"/>
  </sheetData>
  <mergeCells count="188">
    <mergeCell ref="BJ182:BJ184"/>
    <mergeCell ref="BI188:BJ188"/>
    <mergeCell ref="BI187:BJ187"/>
    <mergeCell ref="BA188:BB188"/>
    <mergeCell ref="BC188:BD188"/>
    <mergeCell ref="BE188:BF188"/>
    <mergeCell ref="BG188:BH188"/>
    <mergeCell ref="BE187:BF187"/>
    <mergeCell ref="BC184:BE184"/>
    <mergeCell ref="BG184:BI184"/>
    <mergeCell ref="BA187:BD187"/>
    <mergeCell ref="AZ185:BA185"/>
    <mergeCell ref="AZ186:BA186"/>
    <mergeCell ref="BC186:BE186"/>
    <mergeCell ref="BG186:BI186"/>
    <mergeCell ref="BC185:BE185"/>
    <mergeCell ref="AZ184:BA184"/>
    <mergeCell ref="BG185:BI185"/>
    <mergeCell ref="BG187:BH187"/>
    <mergeCell ref="AZ182:BA182"/>
    <mergeCell ref="BC182:BE182"/>
    <mergeCell ref="BG182:BI182"/>
    <mergeCell ref="AZ183:BA183"/>
    <mergeCell ref="BC183:BE183"/>
    <mergeCell ref="AU182:AW182"/>
    <mergeCell ref="AN183:AO183"/>
    <mergeCell ref="AQ183:AS183"/>
    <mergeCell ref="AQ182:AS182"/>
    <mergeCell ref="AN182:AO182"/>
    <mergeCell ref="A142:B142"/>
    <mergeCell ref="A129:B129"/>
    <mergeCell ref="A51:B51"/>
    <mergeCell ref="A52:B52"/>
    <mergeCell ref="A53:B53"/>
    <mergeCell ref="A54:B54"/>
    <mergeCell ref="A55:B55"/>
    <mergeCell ref="A56:B56"/>
    <mergeCell ref="A141:B141"/>
    <mergeCell ref="A96:B96"/>
    <mergeCell ref="A97:B97"/>
    <mergeCell ref="A98:B98"/>
    <mergeCell ref="A112:B112"/>
    <mergeCell ref="A110:B110"/>
    <mergeCell ref="A140:B140"/>
    <mergeCell ref="A136:B136"/>
    <mergeCell ref="A132:B132"/>
    <mergeCell ref="A133:B133"/>
    <mergeCell ref="AF55:AG55"/>
    <mergeCell ref="BG183:BI183"/>
    <mergeCell ref="AQ188:AR188"/>
    <mergeCell ref="AS188:AT188"/>
    <mergeCell ref="AO188:AP188"/>
    <mergeCell ref="AU186:AW186"/>
    <mergeCell ref="AU187:AV187"/>
    <mergeCell ref="AW187:AX187"/>
    <mergeCell ref="AU188:AV188"/>
    <mergeCell ref="AW188:AX188"/>
    <mergeCell ref="AU183:AW183"/>
    <mergeCell ref="AU185:AW185"/>
    <mergeCell ref="AO187:AR187"/>
    <mergeCell ref="AQ184:AS184"/>
    <mergeCell ref="AU184:AW184"/>
    <mergeCell ref="AN185:AO185"/>
    <mergeCell ref="AN186:AO186"/>
    <mergeCell ref="AQ185:AS185"/>
    <mergeCell ref="AN184:AO184"/>
    <mergeCell ref="AS187:AT187"/>
    <mergeCell ref="AQ186:AS186"/>
    <mergeCell ref="A12:B12"/>
    <mergeCell ref="A13:B13"/>
    <mergeCell ref="A14:B14"/>
    <mergeCell ref="A18:B19"/>
    <mergeCell ref="A43:B43"/>
    <mergeCell ref="A30:B30"/>
    <mergeCell ref="A128:B128"/>
    <mergeCell ref="A74:B74"/>
    <mergeCell ref="A73:B73"/>
    <mergeCell ref="A109:B109"/>
    <mergeCell ref="A113:B113"/>
    <mergeCell ref="A94:B94"/>
    <mergeCell ref="A89:B89"/>
    <mergeCell ref="A90:B90"/>
    <mergeCell ref="A44:B44"/>
    <mergeCell ref="A75:B75"/>
    <mergeCell ref="A63:B63"/>
    <mergeCell ref="A64:B64"/>
    <mergeCell ref="A46:B46"/>
    <mergeCell ref="A47:B47"/>
    <mergeCell ref="A3:B3"/>
    <mergeCell ref="A4:B4"/>
    <mergeCell ref="A10:B10"/>
    <mergeCell ref="A6:B6"/>
    <mergeCell ref="A5:B5"/>
    <mergeCell ref="A7:B7"/>
    <mergeCell ref="A8:B8"/>
    <mergeCell ref="A9:B9"/>
    <mergeCell ref="A11:B11"/>
    <mergeCell ref="BC20:BC21"/>
    <mergeCell ref="AQ20:AQ21"/>
    <mergeCell ref="AD20:AD21"/>
    <mergeCell ref="A20:B21"/>
    <mergeCell ref="F20:F21"/>
    <mergeCell ref="A15:B15"/>
    <mergeCell ref="R20:R21"/>
    <mergeCell ref="A39:B39"/>
    <mergeCell ref="A35:B35"/>
    <mergeCell ref="A16:B16"/>
    <mergeCell ref="A23:B23"/>
    <mergeCell ref="A22:B22"/>
    <mergeCell ref="AG19:AJ19"/>
    <mergeCell ref="R18:R19"/>
    <mergeCell ref="AD18:AD19"/>
    <mergeCell ref="F18:F19"/>
    <mergeCell ref="A34:B34"/>
    <mergeCell ref="A31:B31"/>
    <mergeCell ref="A32:B32"/>
    <mergeCell ref="A38:B38"/>
    <mergeCell ref="BF19:BI19"/>
    <mergeCell ref="BC18:BC19"/>
    <mergeCell ref="AQ18:AQ19"/>
    <mergeCell ref="A130:B130"/>
    <mergeCell ref="A114:B114"/>
    <mergeCell ref="A121:B121"/>
    <mergeCell ref="A86:B86"/>
    <mergeCell ref="A106:B106"/>
    <mergeCell ref="A107:B107"/>
    <mergeCell ref="A108:B108"/>
    <mergeCell ref="A88:B88"/>
    <mergeCell ref="A69:B69"/>
    <mergeCell ref="A61:B61"/>
    <mergeCell ref="A70:B70"/>
    <mergeCell ref="A71:B71"/>
    <mergeCell ref="A68:B68"/>
    <mergeCell ref="A80:B80"/>
    <mergeCell ref="A45:B45"/>
    <mergeCell ref="A37:B37"/>
    <mergeCell ref="A41:B41"/>
    <mergeCell ref="A42:B42"/>
    <mergeCell ref="A25:B25"/>
    <mergeCell ref="A79:B79"/>
    <mergeCell ref="A81:B81"/>
    <mergeCell ref="BE52:BF52"/>
    <mergeCell ref="BE53:BF53"/>
    <mergeCell ref="BE54:BF54"/>
    <mergeCell ref="BE55:BF55"/>
    <mergeCell ref="AS52:AT52"/>
    <mergeCell ref="A137:B137"/>
    <mergeCell ref="A118:B118"/>
    <mergeCell ref="T52:U52"/>
    <mergeCell ref="T53:U53"/>
    <mergeCell ref="A116:B116"/>
    <mergeCell ref="A123:B123"/>
    <mergeCell ref="A93:B93"/>
    <mergeCell ref="A72:B72"/>
    <mergeCell ref="A100:B100"/>
    <mergeCell ref="A101:B101"/>
    <mergeCell ref="A102:B102"/>
    <mergeCell ref="A95:B95"/>
    <mergeCell ref="A134:B134"/>
    <mergeCell ref="A124:B124"/>
    <mergeCell ref="AF52:AG52"/>
    <mergeCell ref="AF53:AG53"/>
    <mergeCell ref="AF54:AG54"/>
    <mergeCell ref="A135:B135"/>
    <mergeCell ref="AH133:AL133"/>
    <mergeCell ref="AS53:AT53"/>
    <mergeCell ref="A146:B146"/>
    <mergeCell ref="A147:B147"/>
    <mergeCell ref="A82:B82"/>
    <mergeCell ref="AS54:AT54"/>
    <mergeCell ref="AS55:AT55"/>
    <mergeCell ref="A127:B127"/>
    <mergeCell ref="T54:U54"/>
    <mergeCell ref="T55:U55"/>
    <mergeCell ref="A120:B120"/>
    <mergeCell ref="A60:B60"/>
    <mergeCell ref="A62:B62"/>
    <mergeCell ref="A57:B57"/>
    <mergeCell ref="A58:B58"/>
    <mergeCell ref="A117:B117"/>
    <mergeCell ref="A91:B91"/>
    <mergeCell ref="A76:B76"/>
    <mergeCell ref="A78:B78"/>
    <mergeCell ref="A138:B138"/>
    <mergeCell ref="A87:B87"/>
    <mergeCell ref="A122:B122"/>
    <mergeCell ref="A126:B126"/>
    <mergeCell ref="A139:B139"/>
  </mergeCells>
  <phoneticPr fontId="39" type="noConversion"/>
  <pageMargins left="0.75" right="0.75" top="1" bottom="1" header="0.4921259845" footer="0.492125984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theme="1" tint="0.499984740745262"/>
    <pageSetUpPr fitToPage="1"/>
  </sheetPr>
  <dimension ref="A1:K32"/>
  <sheetViews>
    <sheetView showGridLines="0" workbookViewId="0">
      <selection activeCell="B2" sqref="B2"/>
    </sheetView>
  </sheetViews>
  <sheetFormatPr baseColWidth="10" defaultColWidth="11.42578125" defaultRowHeight="14.25" x14ac:dyDescent="0.2"/>
  <cols>
    <col min="1" max="1" width="0.85546875" style="863" customWidth="1"/>
    <col min="2" max="2" width="40.7109375" style="864" customWidth="1"/>
    <col min="3" max="5" width="13.7109375" style="864" customWidth="1"/>
    <col min="6" max="6" width="0.85546875" style="864" customWidth="1"/>
    <col min="7" max="7" width="0.85546875" style="864" hidden="1" customWidth="1"/>
    <col min="8" max="8" width="9.28515625" style="864" hidden="1" customWidth="1"/>
    <col min="9" max="9" width="10.7109375" style="864" hidden="1" customWidth="1"/>
    <col min="10" max="10" width="0.85546875" style="864" hidden="1" customWidth="1"/>
    <col min="11" max="16384" width="11.42578125" style="864"/>
  </cols>
  <sheetData>
    <row r="1" spans="1:10" ht="5.0999999999999996" customHeight="1" x14ac:dyDescent="0.2">
      <c r="C1" s="863"/>
      <c r="D1" s="863"/>
      <c r="E1" s="863"/>
      <c r="F1" s="863"/>
      <c r="G1" s="863"/>
    </row>
    <row r="2" spans="1:10" s="865" customFormat="1" ht="17.100000000000001" customHeight="1" x14ac:dyDescent="0.25">
      <c r="B2" s="866" t="s">
        <v>465</v>
      </c>
      <c r="C2" s="867"/>
      <c r="D2" s="867"/>
      <c r="E2" s="867"/>
      <c r="F2" s="867"/>
      <c r="G2" s="867"/>
      <c r="H2" s="867"/>
      <c r="I2" s="867"/>
    </row>
    <row r="3" spans="1:10" ht="17.100000000000001" customHeight="1" x14ac:dyDescent="0.25">
      <c r="B3" s="868"/>
    </row>
    <row r="4" spans="1:10" ht="3.95" customHeight="1" thickBot="1" x14ac:dyDescent="0.3">
      <c r="B4" s="868"/>
    </row>
    <row r="5" spans="1:10" ht="32.1" customHeight="1" thickTop="1" x14ac:dyDescent="0.2">
      <c r="B5" s="869" t="s">
        <v>638</v>
      </c>
      <c r="C5" s="870" t="s">
        <v>861</v>
      </c>
      <c r="D5" s="871" t="s">
        <v>862</v>
      </c>
      <c r="E5" s="872" t="s">
        <v>911</v>
      </c>
      <c r="F5" s="873"/>
      <c r="G5" s="873"/>
      <c r="H5" s="869" t="s">
        <v>860</v>
      </c>
      <c r="I5" s="872" t="s">
        <v>636</v>
      </c>
    </row>
    <row r="6" spans="1:10" ht="21" customHeight="1" x14ac:dyDescent="0.2">
      <c r="B6" s="874" t="s">
        <v>637</v>
      </c>
      <c r="C6" s="875">
        <v>2010</v>
      </c>
      <c r="D6" s="876">
        <v>2080</v>
      </c>
      <c r="E6" s="877">
        <v>2080</v>
      </c>
      <c r="F6" s="873"/>
      <c r="G6" s="873"/>
      <c r="H6" s="874">
        <v>2080</v>
      </c>
      <c r="I6" s="877">
        <v>2080</v>
      </c>
    </row>
    <row r="7" spans="1:10" ht="17.100000000000001" customHeight="1" x14ac:dyDescent="0.35">
      <c r="B7" s="925" t="s">
        <v>910</v>
      </c>
      <c r="C7" s="879">
        <f>'Interne Berechunung'!C76</f>
        <v>-0.16355107636975758</v>
      </c>
      <c r="D7" s="880">
        <v>0</v>
      </c>
      <c r="E7" s="881">
        <v>0</v>
      </c>
      <c r="F7" s="882"/>
      <c r="G7" s="882"/>
      <c r="H7" s="883">
        <v>0</v>
      </c>
      <c r="I7" s="881">
        <v>0</v>
      </c>
      <c r="J7" s="884"/>
    </row>
    <row r="8" spans="1:10" ht="17.100000000000001" customHeight="1" x14ac:dyDescent="0.25">
      <c r="B8" s="878" t="s">
        <v>621</v>
      </c>
      <c r="C8" s="885">
        <v>0</v>
      </c>
      <c r="D8" s="886">
        <f>'Interne Berechunung'!O76</f>
        <v>-0.24439325978906534</v>
      </c>
      <c r="E8" s="887">
        <f>'Interne Berechunung'!AA76</f>
        <v>-0.17028498080791879</v>
      </c>
      <c r="F8" s="888"/>
      <c r="G8" s="888"/>
      <c r="H8" s="889">
        <f>'Interne Berechunung'!AN76</f>
        <v>-0.24439325978906534</v>
      </c>
      <c r="I8" s="887">
        <f>'Interne Berechunung'!AZ76</f>
        <v>-0.16618286498921986</v>
      </c>
      <c r="J8" s="890"/>
    </row>
    <row r="9" spans="1:10" ht="17.100000000000001" customHeight="1" x14ac:dyDescent="0.35">
      <c r="B9" s="878" t="s">
        <v>380</v>
      </c>
      <c r="C9" s="885">
        <v>0</v>
      </c>
      <c r="D9" s="891">
        <f>'Interne Berechunung'!O82</f>
        <v>-0.90796460176991167</v>
      </c>
      <c r="E9" s="892">
        <f>'Interne Berechunung'!AA82</f>
        <v>-3.2046011626328328</v>
      </c>
      <c r="F9" s="893"/>
      <c r="G9" s="893"/>
      <c r="H9" s="894">
        <f>'Interne Berechunung'!AN82</f>
        <v>-0.90796460176991145</v>
      </c>
      <c r="I9" s="892">
        <f>'Interne Berechunung'!BA82</f>
        <v>-3.1274032497018895</v>
      </c>
      <c r="J9" s="890"/>
    </row>
    <row r="10" spans="1:10" ht="17.100000000000001" customHeight="1" x14ac:dyDescent="0.2">
      <c r="B10" s="878" t="s">
        <v>823</v>
      </c>
      <c r="C10" s="885">
        <v>0</v>
      </c>
      <c r="D10" s="891">
        <f>'Interne Berechunung'!O91</f>
        <v>0.11637774275669778</v>
      </c>
      <c r="E10" s="892">
        <f>'Interne Berechunung'!AA91</f>
        <v>8.1088086099008944E-2</v>
      </c>
      <c r="F10" s="893"/>
      <c r="G10" s="893"/>
      <c r="H10" s="894">
        <f>'Interne Berechunung'!AN91</f>
        <v>0.11637774275669778</v>
      </c>
      <c r="I10" s="892">
        <f>'Interne Berechunung'!AZ91</f>
        <v>7.9134697613914215E-2</v>
      </c>
      <c r="J10" s="337"/>
    </row>
    <row r="11" spans="1:10" ht="17.100000000000001" customHeight="1" thickBot="1" x14ac:dyDescent="0.25">
      <c r="B11" s="895" t="s">
        <v>530</v>
      </c>
      <c r="C11" s="896">
        <v>0</v>
      </c>
      <c r="D11" s="897">
        <f>'Interne Berechunung'!O98</f>
        <v>0.2389380530973452</v>
      </c>
      <c r="E11" s="898">
        <f>'Interne Berechunung'!AA98</f>
        <v>0.84331609542969288</v>
      </c>
      <c r="F11" s="893"/>
      <c r="G11" s="893"/>
      <c r="H11" s="899">
        <f>'Interne Berechunung'!AN98</f>
        <v>0.23893805309734514</v>
      </c>
      <c r="I11" s="898">
        <f>'Interne Berechunung'!AZ98</f>
        <v>0.82300085518470778</v>
      </c>
      <c r="J11" s="337"/>
    </row>
    <row r="12" spans="1:10" s="903" customFormat="1" ht="3.95" customHeight="1" thickTop="1" x14ac:dyDescent="0.2">
      <c r="A12" s="900"/>
      <c r="B12" s="901"/>
      <c r="C12" s="902"/>
      <c r="D12" s="893"/>
      <c r="E12" s="893"/>
      <c r="F12" s="893"/>
      <c r="G12" s="893"/>
      <c r="H12" s="893"/>
      <c r="I12" s="893"/>
      <c r="J12" s="343"/>
    </row>
    <row r="13" spans="1:10" s="903" customFormat="1" ht="3.95" customHeight="1" thickBot="1" x14ac:dyDescent="0.25">
      <c r="A13" s="900"/>
      <c r="B13" s="901"/>
      <c r="C13" s="902"/>
      <c r="D13" s="893"/>
      <c r="E13" s="893"/>
      <c r="F13" s="893"/>
      <c r="G13" s="893"/>
      <c r="H13" s="893"/>
      <c r="I13" s="893"/>
      <c r="J13" s="343"/>
    </row>
    <row r="14" spans="1:10" ht="32.1" customHeight="1" thickTop="1" x14ac:dyDescent="0.2">
      <c r="B14" s="869" t="s">
        <v>740</v>
      </c>
      <c r="C14" s="870" t="s">
        <v>861</v>
      </c>
      <c r="D14" s="871" t="s">
        <v>862</v>
      </c>
      <c r="E14" s="872" t="s">
        <v>911</v>
      </c>
      <c r="F14" s="873"/>
      <c r="G14" s="873"/>
      <c r="H14" s="869" t="s">
        <v>860</v>
      </c>
      <c r="I14" s="872" t="s">
        <v>636</v>
      </c>
    </row>
    <row r="15" spans="1:10" ht="21" customHeight="1" x14ac:dyDescent="0.2">
      <c r="B15" s="874" t="s">
        <v>741</v>
      </c>
      <c r="C15" s="875">
        <v>2010</v>
      </c>
      <c r="D15" s="876">
        <v>2080</v>
      </c>
      <c r="E15" s="877">
        <v>2080</v>
      </c>
      <c r="F15" s="873"/>
      <c r="G15" s="873"/>
      <c r="H15" s="874">
        <v>2080</v>
      </c>
      <c r="I15" s="877">
        <v>2080</v>
      </c>
    </row>
    <row r="16" spans="1:10" ht="17.100000000000001" customHeight="1" x14ac:dyDescent="0.2">
      <c r="B16" s="878" t="s">
        <v>432</v>
      </c>
      <c r="C16" s="904">
        <f>'Eingabe Annahmen'!E10</f>
        <v>-0.5</v>
      </c>
      <c r="D16" s="905">
        <f>'Eingabe Annahmen'!F10</f>
        <v>-0.5</v>
      </c>
      <c r="E16" s="906">
        <f>'Eingabe Annahmen'!G10</f>
        <v>-0.5</v>
      </c>
      <c r="F16" s="907"/>
      <c r="G16" s="907"/>
      <c r="H16" s="908">
        <f>'Eingabe Annahmen'!F10</f>
        <v>-0.5</v>
      </c>
      <c r="I16" s="906">
        <f>'Eingabe Annahmen'!G10</f>
        <v>-0.5</v>
      </c>
      <c r="J16" s="337"/>
    </row>
    <row r="17" spans="1:11" ht="17.100000000000001" customHeight="1" x14ac:dyDescent="0.2">
      <c r="B17" s="878" t="s">
        <v>576</v>
      </c>
      <c r="C17" s="909">
        <v>0</v>
      </c>
      <c r="D17" s="910">
        <v>0</v>
      </c>
      <c r="E17" s="906">
        <f>'Eingabe Annahmen'!G11</f>
        <v>-0.3</v>
      </c>
      <c r="F17" s="907"/>
      <c r="G17" s="907"/>
      <c r="H17" s="911">
        <v>0</v>
      </c>
      <c r="I17" s="906">
        <f>'Eingabe Annahmen'!G11</f>
        <v>-0.3</v>
      </c>
      <c r="J17" s="337"/>
    </row>
    <row r="18" spans="1:11" ht="17.100000000000001" customHeight="1" x14ac:dyDescent="0.2">
      <c r="B18" s="878" t="s">
        <v>732</v>
      </c>
      <c r="C18" s="909">
        <v>0</v>
      </c>
      <c r="D18" s="905">
        <f>'Eingabe Annahmen'!F14</f>
        <v>-0.5</v>
      </c>
      <c r="E18" s="906">
        <f>'Eingabe Annahmen'!G14</f>
        <v>-0.5</v>
      </c>
      <c r="F18" s="907"/>
      <c r="G18" s="907"/>
      <c r="H18" s="908">
        <f>'Eingabe Annahmen'!F14</f>
        <v>-0.5</v>
      </c>
      <c r="I18" s="906">
        <f>'Eingabe Annahmen'!G14</f>
        <v>-0.5</v>
      </c>
      <c r="J18" s="337"/>
    </row>
    <row r="19" spans="1:11" ht="17.100000000000001" customHeight="1" x14ac:dyDescent="0.2">
      <c r="B19" s="878" t="s">
        <v>505</v>
      </c>
      <c r="C19" s="909">
        <v>0</v>
      </c>
      <c r="D19" s="910">
        <v>0</v>
      </c>
      <c r="E19" s="906">
        <f>'Eingabe Annahmen'!G15</f>
        <v>-0.6</v>
      </c>
      <c r="F19" s="907"/>
      <c r="G19" s="907"/>
      <c r="H19" s="911">
        <v>0</v>
      </c>
      <c r="I19" s="906">
        <f>'Eingabe Annahmen'!G15</f>
        <v>-0.6</v>
      </c>
      <c r="J19" s="337"/>
    </row>
    <row r="20" spans="1:11" ht="17.100000000000001" customHeight="1" x14ac:dyDescent="0.2">
      <c r="B20" s="878" t="s">
        <v>772</v>
      </c>
      <c r="C20" s="904">
        <f>'Eingabe Annahmen'!E13</f>
        <v>-0.5</v>
      </c>
      <c r="D20" s="905">
        <f>'Eingabe Annahmen'!F13</f>
        <v>-1</v>
      </c>
      <c r="E20" s="912">
        <v>0</v>
      </c>
      <c r="F20" s="913"/>
      <c r="G20" s="913"/>
      <c r="H20" s="908">
        <f>'Eingabe Annahmen'!F13</f>
        <v>-1</v>
      </c>
      <c r="I20" s="912">
        <v>0</v>
      </c>
      <c r="J20" s="337"/>
    </row>
    <row r="21" spans="1:11" ht="17.100000000000001" customHeight="1" x14ac:dyDescent="0.2">
      <c r="B21" s="878" t="s">
        <v>506</v>
      </c>
      <c r="C21" s="914">
        <f>'Interne Berechunung'!C32</f>
        <v>-0.65176020471136265</v>
      </c>
      <c r="D21" s="891">
        <f>'Interne Berechunung'!V35</f>
        <v>-0.4</v>
      </c>
      <c r="E21" s="881">
        <v>0</v>
      </c>
      <c r="F21" s="882"/>
      <c r="G21" s="882"/>
      <c r="H21" s="883">
        <f>'Interne Berechunung'!AU35</f>
        <v>-0.4</v>
      </c>
      <c r="I21" s="881">
        <v>0</v>
      </c>
      <c r="J21" s="337"/>
    </row>
    <row r="22" spans="1:11" ht="17.100000000000001" customHeight="1" x14ac:dyDescent="0.2">
      <c r="B22" s="878" t="s">
        <v>396</v>
      </c>
      <c r="C22" s="909">
        <v>0</v>
      </c>
      <c r="D22" s="905">
        <f>'Eingabe Annahmen'!F21</f>
        <v>-1.6</v>
      </c>
      <c r="E22" s="906">
        <f>'Eingabe Annahmen'!G21</f>
        <v>-1.6</v>
      </c>
      <c r="F22" s="907"/>
      <c r="G22" s="907"/>
      <c r="H22" s="908">
        <f>'Eingabe Annahmen'!F21</f>
        <v>-1.6</v>
      </c>
      <c r="I22" s="906">
        <f>'Eingabe Annahmen'!G21</f>
        <v>-1.6</v>
      </c>
      <c r="J22" s="915"/>
    </row>
    <row r="23" spans="1:11" ht="17.100000000000001" customHeight="1" x14ac:dyDescent="0.2">
      <c r="B23" s="878" t="s">
        <v>202</v>
      </c>
      <c r="C23" s="909">
        <v>0</v>
      </c>
      <c r="D23" s="905">
        <f>'Eingabe Annahmen'!F19</f>
        <v>-1.65</v>
      </c>
      <c r="E23" s="906">
        <f>'Eingabe Annahmen'!G19</f>
        <v>-1.65</v>
      </c>
      <c r="F23" s="907"/>
      <c r="G23" s="907"/>
      <c r="H23" s="908">
        <f>'Eingabe Annahmen'!F19</f>
        <v>-1.65</v>
      </c>
      <c r="I23" s="906">
        <f>'Eingabe Annahmen'!G19</f>
        <v>-1.65</v>
      </c>
      <c r="J23" s="915"/>
    </row>
    <row r="24" spans="1:11" ht="17.100000000000001" customHeight="1" x14ac:dyDescent="0.2">
      <c r="B24" s="878" t="s">
        <v>451</v>
      </c>
      <c r="C24" s="909">
        <v>0</v>
      </c>
      <c r="D24" s="905">
        <f>'Eingabe Annahmen'!F20</f>
        <v>-9</v>
      </c>
      <c r="E24" s="906">
        <f>'Eingabe Annahmen'!G20</f>
        <v>-9</v>
      </c>
      <c r="F24" s="907"/>
      <c r="G24" s="907"/>
      <c r="H24" s="908">
        <f>'Eingabe Annahmen'!F20</f>
        <v>-9</v>
      </c>
      <c r="I24" s="906">
        <f>'Eingabe Annahmen'!G20</f>
        <v>-9</v>
      </c>
      <c r="J24" s="915"/>
    </row>
    <row r="25" spans="1:11" ht="17.100000000000001" customHeight="1" x14ac:dyDescent="0.2">
      <c r="B25" s="878" t="s">
        <v>507</v>
      </c>
      <c r="C25" s="909">
        <v>0</v>
      </c>
      <c r="D25" s="910">
        <v>0</v>
      </c>
      <c r="E25" s="906">
        <f>'Eingabe Annahmen'!G22</f>
        <v>-1.5</v>
      </c>
      <c r="F25" s="907"/>
      <c r="G25" s="907"/>
      <c r="H25" s="911">
        <v>0</v>
      </c>
      <c r="I25" s="906">
        <f>'Eingabe Annahmen'!G22</f>
        <v>-1.5</v>
      </c>
      <c r="J25" s="915"/>
      <c r="K25" s="863"/>
    </row>
    <row r="26" spans="1:11" ht="17.100000000000001" customHeight="1" x14ac:dyDescent="0.2">
      <c r="B26" s="916" t="s">
        <v>526</v>
      </c>
      <c r="C26" s="909">
        <v>0</v>
      </c>
      <c r="D26" s="910">
        <v>0</v>
      </c>
      <c r="E26" s="906">
        <f>'Interne Berechunung'!AA39</f>
        <v>-2.4684348888587193</v>
      </c>
      <c r="F26" s="907"/>
      <c r="G26" s="907"/>
      <c r="H26" s="911">
        <v>0</v>
      </c>
      <c r="I26" s="906">
        <f>'Interne Berechunung'!AZ39</f>
        <v>-2.4089710080339182</v>
      </c>
      <c r="J26" s="337"/>
    </row>
    <row r="27" spans="1:11" ht="17.100000000000001" customHeight="1" x14ac:dyDescent="0.2">
      <c r="B27" s="916" t="s">
        <v>703</v>
      </c>
      <c r="C27" s="909">
        <v>0</v>
      </c>
      <c r="D27" s="905">
        <f>ROUNDDOWN('Interne Berechunung'!O58,0)</f>
        <v>2</v>
      </c>
      <c r="E27" s="906">
        <f>ROUNDDOWN('Interne Berechunung'!AA58,0)</f>
        <v>17</v>
      </c>
      <c r="F27" s="907"/>
      <c r="G27" s="907"/>
      <c r="H27" s="908">
        <f>ROUNDDOWN('Interne Berechunung'!AN58,0)</f>
        <v>2</v>
      </c>
      <c r="I27" s="906">
        <f>ROUNDDOWN('Interne Berechunung'!AZ58,0)</f>
        <v>17</v>
      </c>
      <c r="J27" s="337"/>
    </row>
    <row r="28" spans="1:11" ht="17.100000000000001" customHeight="1" x14ac:dyDescent="0.2">
      <c r="B28" s="916" t="s">
        <v>913</v>
      </c>
      <c r="C28" s="909">
        <v>0</v>
      </c>
      <c r="D28" s="910">
        <v>0</v>
      </c>
      <c r="E28" s="906">
        <f>'Interne Berechunung'!AA64</f>
        <v>-16.451501425521151</v>
      </c>
      <c r="F28" s="907"/>
      <c r="G28" s="907"/>
      <c r="H28" s="911">
        <v>0</v>
      </c>
      <c r="I28" s="906">
        <f>'Interne Berechunung'!AZ64</f>
        <v>-16.055189525794056</v>
      </c>
      <c r="J28" s="337"/>
    </row>
    <row r="29" spans="1:11" ht="17.100000000000001" customHeight="1" thickBot="1" x14ac:dyDescent="0.25">
      <c r="B29" s="917" t="s">
        <v>914</v>
      </c>
      <c r="C29" s="918">
        <v>0</v>
      </c>
      <c r="D29" s="919">
        <v>0</v>
      </c>
      <c r="E29" s="920">
        <f>'Interne Berechunung'!AA47</f>
        <v>2.2166545301951297</v>
      </c>
      <c r="F29" s="907"/>
      <c r="G29" s="907"/>
      <c r="H29" s="921">
        <v>0</v>
      </c>
      <c r="I29" s="920">
        <f>'Interne Berechunung'!AZ47</f>
        <v>2.1632559652144585</v>
      </c>
      <c r="J29" s="337"/>
    </row>
    <row r="30" spans="1:11" s="923" customFormat="1" ht="3.95" customHeight="1" thickTop="1" x14ac:dyDescent="0.2">
      <c r="A30" s="922"/>
    </row>
    <row r="31" spans="1:11" s="923" customFormat="1" ht="15" hidden="1" customHeight="1" x14ac:dyDescent="0.2">
      <c r="A31" s="922"/>
      <c r="B31" s="924" t="s">
        <v>808</v>
      </c>
    </row>
    <row r="32" spans="1:11" ht="12.75" customHeight="1" x14ac:dyDescent="0.2">
      <c r="B32" s="924"/>
      <c r="C32" s="863"/>
      <c r="D32" s="863"/>
      <c r="E32" s="863"/>
      <c r="F32" s="863"/>
      <c r="G32" s="863"/>
    </row>
  </sheetData>
  <sheetProtection password="EDC3" sheet="1" objects="1" scenarios="1"/>
  <phoneticPr fontId="39" type="noConversion"/>
  <conditionalFormatting sqref="C7:I11 C16:I29">
    <cfRule type="cellIs" dxfId="1" priority="0" stopIfTrue="1" operator="lessThan">
      <formula>0</formula>
    </cfRule>
  </conditionalFormatting>
  <pageMargins left="0.98" right="0.2" top="0.79000000000000015" bottom="0.2" header="0.31" footer="0.31"/>
  <pageSetup paperSize="0" orientation="portrait" horizontalDpi="300" verticalDpi="300" r:id="rId1"/>
  <headerFooter>
    <oddHeader>&amp;CBilanzierung kommunaler Wasserinfrastrukturen - BkW</oddHeader>
    <oddFooter>&amp;CSeite &amp;P</oddFooter>
  </headerFooter>
  <ignoredErrors>
    <ignoredError sqref="H16 E18:E24 H18:H24 E16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rgb="FF0000FF"/>
    <pageSetUpPr fitToPage="1"/>
  </sheetPr>
  <dimension ref="A1:P64"/>
  <sheetViews>
    <sheetView showGridLines="0" workbookViewId="0">
      <selection activeCell="B2" sqref="B2"/>
    </sheetView>
  </sheetViews>
  <sheetFormatPr baseColWidth="10" defaultColWidth="11.42578125" defaultRowHeight="15" x14ac:dyDescent="0.25"/>
  <cols>
    <col min="1" max="1" width="0.85546875" style="228" customWidth="1"/>
    <col min="2" max="2" width="40.7109375" style="23" customWidth="1"/>
    <col min="3" max="5" width="13.7109375" style="23" customWidth="1"/>
    <col min="6" max="6" width="0.85546875" style="23" customWidth="1"/>
    <col min="7" max="7" width="0.85546875" style="23" hidden="1" customWidth="1"/>
    <col min="8" max="8" width="9.28515625" style="23" hidden="1" customWidth="1"/>
    <col min="9" max="9" width="10.140625" style="23" hidden="1" customWidth="1"/>
    <col min="10" max="10" width="0.85546875" hidden="1" customWidth="1"/>
    <col min="12" max="12" width="17.42578125" style="23" customWidth="1"/>
    <col min="13" max="16384" width="11.42578125" style="23"/>
  </cols>
  <sheetData>
    <row r="1" spans="1:15" ht="5.0999999999999996" customHeight="1" x14ac:dyDescent="0.25"/>
    <row r="2" spans="1:15" s="476" customFormat="1" ht="17.100000000000001" customHeight="1" x14ac:dyDescent="0.25">
      <c r="B2" s="477" t="s">
        <v>253</v>
      </c>
      <c r="C2" s="478"/>
      <c r="D2" s="478"/>
      <c r="E2" s="478"/>
      <c r="F2" s="478"/>
      <c r="G2" s="478"/>
      <c r="H2" s="478"/>
      <c r="I2" s="478"/>
    </row>
    <row r="3" spans="1:15" ht="15.95" customHeight="1" x14ac:dyDescent="0.25">
      <c r="B3" s="24"/>
    </row>
    <row r="4" spans="1:15" ht="3.95" customHeight="1" thickBot="1" x14ac:dyDescent="0.3">
      <c r="B4" s="24"/>
    </row>
    <row r="5" spans="1:15" ht="32.1" customHeight="1" thickTop="1" x14ac:dyDescent="0.2">
      <c r="B5" s="614" t="s">
        <v>705</v>
      </c>
      <c r="C5" s="615" t="s">
        <v>861</v>
      </c>
      <c r="D5" s="616" t="s">
        <v>862</v>
      </c>
      <c r="E5" s="617" t="s">
        <v>706</v>
      </c>
      <c r="F5" s="784"/>
      <c r="G5" s="784"/>
      <c r="H5" s="614" t="s">
        <v>860</v>
      </c>
      <c r="I5" s="617" t="s">
        <v>636</v>
      </c>
      <c r="J5" s="23"/>
      <c r="K5" s="23"/>
    </row>
    <row r="6" spans="1:15" ht="21" customHeight="1" x14ac:dyDescent="0.2">
      <c r="B6" s="610" t="s">
        <v>704</v>
      </c>
      <c r="C6" s="611">
        <v>2010</v>
      </c>
      <c r="D6" s="612">
        <v>2080</v>
      </c>
      <c r="E6" s="613">
        <v>2080</v>
      </c>
      <c r="F6" s="784"/>
      <c r="G6" s="784"/>
      <c r="H6" s="610">
        <v>2080</v>
      </c>
      <c r="I6" s="613">
        <v>2080</v>
      </c>
      <c r="J6" s="23"/>
      <c r="K6" s="23"/>
    </row>
    <row r="7" spans="1:15" ht="17.100000000000001" customHeight="1" x14ac:dyDescent="0.25">
      <c r="B7" s="463" t="s">
        <v>620</v>
      </c>
      <c r="C7" s="465">
        <f>'Interne Berechunung'!C13/B59</f>
        <v>25.125</v>
      </c>
      <c r="D7" s="292">
        <f>'Interne Berechunung'!O13/B59</f>
        <v>14.1</v>
      </c>
      <c r="E7" s="785">
        <f>'Interne Berechunung'!AA13/B59</f>
        <v>6.2249999999999996</v>
      </c>
      <c r="F7" s="293"/>
      <c r="G7" s="293"/>
      <c r="H7" s="791">
        <f>'Interne Berechunung'!AN13/B59</f>
        <v>19.25</v>
      </c>
      <c r="I7" s="290">
        <f>'Interne Berechunung'!AZ13/'Ausgabe Mengenbilanzen'!B59</f>
        <v>8.375</v>
      </c>
      <c r="M7" s="228"/>
    </row>
    <row r="8" spans="1:15" ht="17.100000000000001" customHeight="1" x14ac:dyDescent="0.25">
      <c r="B8" s="463" t="s">
        <v>574</v>
      </c>
      <c r="C8" s="465">
        <v>0</v>
      </c>
      <c r="D8" s="292">
        <v>0</v>
      </c>
      <c r="E8" s="785">
        <f>('Interne Berechunung'!AE13)/B59</f>
        <v>10.8</v>
      </c>
      <c r="F8" s="293"/>
      <c r="G8" s="293"/>
      <c r="H8" s="791">
        <v>0</v>
      </c>
      <c r="I8" s="290">
        <f>('Interne Berechunung'!BD13)/'Ausgabe Mengenbilanzen'!B59</f>
        <v>14.9375</v>
      </c>
      <c r="M8" s="228"/>
    </row>
    <row r="9" spans="1:15" ht="17.100000000000001" customHeight="1" x14ac:dyDescent="0.25">
      <c r="B9" s="479" t="s">
        <v>472</v>
      </c>
      <c r="C9" s="466">
        <f>'Interne Berechunung'!L16/B59</f>
        <v>4.74</v>
      </c>
      <c r="D9" s="283">
        <f>'Interne Berechunung'!X16/B59</f>
        <v>6.4124999999999996</v>
      </c>
      <c r="E9" s="290">
        <f>'Interne Berechunung'!AJ16/B59</f>
        <v>12.9</v>
      </c>
      <c r="F9" s="289"/>
      <c r="G9" s="289"/>
      <c r="H9" s="791">
        <f>'Interne Berechunung'!AW16/'Ausgabe Mengenbilanzen'!B59</f>
        <v>5.5350000000000001</v>
      </c>
      <c r="I9" s="290">
        <f>'Interne Berechunung'!BI16/'Ausgabe Mengenbilanzen'!B59</f>
        <v>11.1</v>
      </c>
      <c r="M9" s="228"/>
    </row>
    <row r="10" spans="1:15" ht="17.100000000000001" customHeight="1" x14ac:dyDescent="0.25">
      <c r="B10" s="479" t="s">
        <v>623</v>
      </c>
      <c r="C10" s="466">
        <v>0</v>
      </c>
      <c r="D10" s="283">
        <v>0</v>
      </c>
      <c r="E10" s="290">
        <f>'Interne Berechunung'!AE16/B59</f>
        <v>12.8</v>
      </c>
      <c r="F10" s="289"/>
      <c r="G10" s="289"/>
      <c r="H10" s="791">
        <v>0</v>
      </c>
      <c r="I10" s="290">
        <f>'Interne Berechunung'!BD16/B59</f>
        <v>16.9375</v>
      </c>
      <c r="M10" s="228"/>
    </row>
    <row r="11" spans="1:15" ht="17.100000000000001" customHeight="1" x14ac:dyDescent="0.25">
      <c r="B11" s="479" t="s">
        <v>322</v>
      </c>
      <c r="C11" s="466">
        <f>'Interne Berechunung'!K16/B59</f>
        <v>4.8308362499999999</v>
      </c>
      <c r="D11" s="283">
        <f>'Interne Berechunung'!W16/B59</f>
        <v>1.8021310500000001</v>
      </c>
      <c r="E11" s="290">
        <f>'Interne Berechunung'!AI16/B59</f>
        <v>0</v>
      </c>
      <c r="F11" s="289"/>
      <c r="G11" s="289"/>
      <c r="H11" s="791">
        <f>'Interne Berechunung'!AV16/'Ausgabe Mengenbilanzen'!B59</f>
        <v>2.0329181250000001</v>
      </c>
      <c r="I11" s="290">
        <v>0</v>
      </c>
      <c r="M11" s="228"/>
    </row>
    <row r="12" spans="1:15" ht="17.100000000000001" customHeight="1" x14ac:dyDescent="0.25">
      <c r="B12" s="463" t="s">
        <v>624</v>
      </c>
      <c r="C12" s="465">
        <f>'Interne Berechunung'!J16/B59</f>
        <v>30.686132499999999</v>
      </c>
      <c r="D12" s="292">
        <f>'Interne Berechunung'!V16/B59</f>
        <v>21.82088645</v>
      </c>
      <c r="E12" s="785">
        <f>'Interne Berechunung'!AH16/B59</f>
        <v>0</v>
      </c>
      <c r="F12" s="293"/>
      <c r="G12" s="293"/>
      <c r="H12" s="791">
        <f>'Interne Berechunung'!AU16/B59</f>
        <v>26.314050625</v>
      </c>
      <c r="I12" s="290">
        <v>0</v>
      </c>
      <c r="M12" s="229"/>
      <c r="N12" s="43"/>
      <c r="O12" s="43"/>
    </row>
    <row r="13" spans="1:15" ht="17.100000000000001" customHeight="1" x14ac:dyDescent="0.25">
      <c r="B13" s="479" t="s">
        <v>489</v>
      </c>
      <c r="C13" s="466">
        <v>0</v>
      </c>
      <c r="D13" s="283">
        <f>'Interne Berechunung'!R18/B59</f>
        <v>0.92801250000000002</v>
      </c>
      <c r="E13" s="290">
        <v>0</v>
      </c>
      <c r="F13" s="289"/>
      <c r="G13" s="289"/>
      <c r="H13" s="792">
        <f>'Interne Berechunung'!AQ18/'Ausgabe Mengenbilanzen'!B59</f>
        <v>1.2889062499999999</v>
      </c>
      <c r="I13" s="290">
        <v>0</v>
      </c>
      <c r="M13" s="230"/>
      <c r="N13" s="43"/>
      <c r="O13" s="43"/>
    </row>
    <row r="14" spans="1:15" ht="17.100000000000001" customHeight="1" thickBot="1" x14ac:dyDescent="0.3">
      <c r="B14" s="464" t="s">
        <v>619</v>
      </c>
      <c r="C14" s="467">
        <v>0</v>
      </c>
      <c r="D14" s="442">
        <v>0</v>
      </c>
      <c r="E14" s="443">
        <f>'Interne Berechunung'!AD20/B59</f>
        <v>1.8230175</v>
      </c>
      <c r="F14" s="289"/>
      <c r="G14" s="289"/>
      <c r="H14" s="793">
        <v>0</v>
      </c>
      <c r="I14" s="443">
        <f>'Interne Berechunung'!BC20/B59</f>
        <v>2.5944687499999999</v>
      </c>
      <c r="M14" s="231"/>
      <c r="N14" s="43"/>
      <c r="O14" s="43"/>
    </row>
    <row r="15" spans="1:15" s="446" customFormat="1" ht="3.95" customHeight="1" thickTop="1" x14ac:dyDescent="0.25">
      <c r="A15" s="444"/>
      <c r="B15" s="445"/>
      <c r="C15" s="289"/>
      <c r="D15" s="289"/>
      <c r="E15" s="289"/>
      <c r="F15" s="289"/>
      <c r="G15" s="289"/>
      <c r="H15" s="289"/>
      <c r="I15" s="289"/>
      <c r="J15" s="4"/>
      <c r="K15" s="4"/>
      <c r="M15" s="447"/>
      <c r="N15" s="448"/>
      <c r="O15" s="448"/>
    </row>
    <row r="16" spans="1:15" s="446" customFormat="1" ht="3.95" customHeight="1" thickBot="1" x14ac:dyDescent="0.3">
      <c r="A16" s="444"/>
      <c r="B16" s="445"/>
      <c r="C16" s="289"/>
      <c r="D16" s="289"/>
      <c r="E16" s="289"/>
      <c r="F16" s="289"/>
      <c r="G16" s="289"/>
      <c r="H16" s="289"/>
      <c r="I16" s="289"/>
      <c r="J16" s="4"/>
      <c r="K16" s="4"/>
      <c r="M16" s="447"/>
      <c r="N16" s="448"/>
      <c r="O16" s="448"/>
    </row>
    <row r="17" spans="1:16" ht="32.1" customHeight="1" thickTop="1" x14ac:dyDescent="0.2">
      <c r="B17" s="614" t="s">
        <v>707</v>
      </c>
      <c r="C17" s="615" t="s">
        <v>861</v>
      </c>
      <c r="D17" s="616" t="s">
        <v>862</v>
      </c>
      <c r="E17" s="617" t="s">
        <v>706</v>
      </c>
      <c r="F17" s="784"/>
      <c r="G17" s="784"/>
      <c r="H17" s="614" t="s">
        <v>860</v>
      </c>
      <c r="I17" s="617" t="s">
        <v>636</v>
      </c>
      <c r="J17" s="23"/>
      <c r="K17" s="23"/>
    </row>
    <row r="18" spans="1:16" ht="21" customHeight="1" x14ac:dyDescent="0.2">
      <c r="B18" s="610" t="s">
        <v>708</v>
      </c>
      <c r="C18" s="611">
        <v>2010</v>
      </c>
      <c r="D18" s="612">
        <v>2080</v>
      </c>
      <c r="E18" s="613">
        <v>2080</v>
      </c>
      <c r="F18" s="784"/>
      <c r="G18" s="784"/>
      <c r="H18" s="610">
        <v>2080</v>
      </c>
      <c r="I18" s="613">
        <v>2080</v>
      </c>
      <c r="J18" s="23"/>
      <c r="K18" s="23"/>
    </row>
    <row r="19" spans="1:16" ht="17.100000000000001" customHeight="1" x14ac:dyDescent="0.35">
      <c r="B19" s="468" t="s">
        <v>522</v>
      </c>
      <c r="C19" s="469">
        <f>1000*C12*'Ausgabe Kennwerte'!C7</f>
        <v>-5018.75</v>
      </c>
      <c r="D19" s="282">
        <v>0</v>
      </c>
      <c r="E19" s="295">
        <v>0</v>
      </c>
      <c r="F19" s="294"/>
      <c r="G19" s="294"/>
      <c r="H19" s="789">
        <v>0</v>
      </c>
      <c r="I19" s="295">
        <v>0</v>
      </c>
      <c r="K19" s="456"/>
      <c r="L19" s="457"/>
      <c r="M19" s="457"/>
      <c r="N19" s="457"/>
      <c r="O19" s="457"/>
    </row>
    <row r="20" spans="1:16" ht="17.100000000000001" customHeight="1" x14ac:dyDescent="0.25">
      <c r="B20" s="468" t="s">
        <v>367</v>
      </c>
      <c r="C20" s="469">
        <v>0</v>
      </c>
      <c r="D20" s="282">
        <f>1000*D13*'Ausgabe Kennwerte'!D8</f>
        <v>-226.8</v>
      </c>
      <c r="E20" s="295">
        <f>1000*'Ausgabe Kennwerte'!E8*E14</f>
        <v>-310.43250000000012</v>
      </c>
      <c r="F20" s="294"/>
      <c r="G20" s="294"/>
      <c r="H20" s="789">
        <f>1000*H13*'Ausgabe Kennwerte'!H8</f>
        <v>-315</v>
      </c>
      <c r="I20" s="295">
        <f>1000*'Ausgabe Kennwerte'!I8*I14</f>
        <v>-431.15625</v>
      </c>
      <c r="K20" s="456"/>
      <c r="L20" s="457"/>
      <c r="M20" s="458"/>
      <c r="N20" s="459"/>
      <c r="O20" s="459"/>
      <c r="P20" s="43"/>
    </row>
    <row r="21" spans="1:16" ht="17.100000000000001" customHeight="1" x14ac:dyDescent="0.35">
      <c r="B21" s="479" t="s">
        <v>606</v>
      </c>
      <c r="C21" s="469">
        <v>0</v>
      </c>
      <c r="D21" s="282">
        <f>1000*D13*'Ausgabe Kennwerte'!D9</f>
        <v>-842.60250000000019</v>
      </c>
      <c r="E21" s="295">
        <f>1000*'Ausgabe Kennwerte'!E9*E14</f>
        <v>-5842.0439999999999</v>
      </c>
      <c r="F21" s="294"/>
      <c r="G21" s="294"/>
      <c r="H21" s="789">
        <f>1000*H13*'Ausgabe Kennwerte'!H9</f>
        <v>-1170.28125</v>
      </c>
      <c r="I21" s="295">
        <f>1000*'Ausgabe Kennwerte'!I9*I14</f>
        <v>-8113.95</v>
      </c>
      <c r="K21" s="456"/>
      <c r="L21" s="457"/>
      <c r="M21" s="458"/>
      <c r="N21" s="459"/>
      <c r="O21" s="459"/>
      <c r="P21" s="43"/>
    </row>
    <row r="22" spans="1:16" ht="17.100000000000001" customHeight="1" x14ac:dyDescent="0.25">
      <c r="B22" s="468" t="s">
        <v>255</v>
      </c>
      <c r="C22" s="469">
        <f>1000*C14*'Ausgabe Kennwerte'!C10</f>
        <v>0</v>
      </c>
      <c r="D22" s="282">
        <f>1000*D13*'Ausgabe Kennwerte'!D10</f>
        <v>108</v>
      </c>
      <c r="E22" s="295">
        <f>1000*E14*'Ausgabe Kennwerte'!E10</f>
        <v>147.82500000000002</v>
      </c>
      <c r="F22" s="294"/>
      <c r="G22" s="294"/>
      <c r="H22" s="789">
        <f>1000*H13*'Ausgabe Kennwerte'!H10</f>
        <v>150</v>
      </c>
      <c r="I22" s="295">
        <f>1000*I14*'Ausgabe Kennwerte'!I10</f>
        <v>205.3125</v>
      </c>
      <c r="K22" s="456"/>
      <c r="L22" s="457"/>
      <c r="M22" s="457"/>
      <c r="N22" s="457"/>
      <c r="O22" s="457"/>
    </row>
    <row r="23" spans="1:16" ht="17.100000000000001" customHeight="1" x14ac:dyDescent="0.25">
      <c r="B23" s="468" t="s">
        <v>656</v>
      </c>
      <c r="C23" s="469">
        <f>1000*C14*'Ausgabe Kennwerte'!C11</f>
        <v>0</v>
      </c>
      <c r="D23" s="282">
        <f>1000*D13*'Ausgabe Kennwerte'!D11</f>
        <v>221.73750000000007</v>
      </c>
      <c r="E23" s="295">
        <f>1000*E14*'Ausgabe Kennwerte'!E11</f>
        <v>1537.38</v>
      </c>
      <c r="F23" s="294"/>
      <c r="G23" s="294"/>
      <c r="H23" s="789">
        <f>1000*H13*'Ausgabe Kennwerte'!H11</f>
        <v>307.96875</v>
      </c>
      <c r="I23" s="295">
        <f>1000*I14*'Ausgabe Kennwerte'!I11</f>
        <v>2135.25</v>
      </c>
      <c r="K23" s="456"/>
      <c r="L23" s="457"/>
      <c r="M23" s="459"/>
      <c r="N23" s="459"/>
      <c r="O23" s="459"/>
    </row>
    <row r="24" spans="1:16" ht="17.100000000000001" customHeight="1" x14ac:dyDescent="0.25">
      <c r="B24" s="468" t="s">
        <v>378</v>
      </c>
      <c r="C24" s="469">
        <v>0</v>
      </c>
      <c r="D24" s="282">
        <f>D22*'Interne Berechunung'!$O$101</f>
        <v>475.20000000000005</v>
      </c>
      <c r="E24" s="295">
        <f>E22*'Interne Berechunung'!$AA$101</f>
        <v>650.43000000000018</v>
      </c>
      <c r="F24" s="294"/>
      <c r="G24" s="294"/>
      <c r="H24" s="789">
        <f>H22*'Interne Berechunung'!$AN$101</f>
        <v>660</v>
      </c>
      <c r="I24" s="295">
        <f>I22*'Interne Berechunung'!$AZ$101</f>
        <v>903.37500000000011</v>
      </c>
      <c r="K24" s="456"/>
      <c r="L24" s="457"/>
      <c r="M24" s="457"/>
      <c r="N24" s="457"/>
      <c r="O24" s="457"/>
    </row>
    <row r="25" spans="1:16" ht="17.100000000000001" customHeight="1" thickBot="1" x14ac:dyDescent="0.3">
      <c r="B25" s="480" t="s">
        <v>382</v>
      </c>
      <c r="C25" s="470">
        <v>0</v>
      </c>
      <c r="D25" s="449">
        <f>D23*'Interne Berechunung'!$O$102</f>
        <v>2660.8500000000008</v>
      </c>
      <c r="E25" s="450">
        <f>E23*'Interne Berechunung'!$AA$102</f>
        <v>18448.560000000001</v>
      </c>
      <c r="F25" s="294"/>
      <c r="G25" s="294"/>
      <c r="H25" s="790">
        <f>H23*'Interne Berechunung'!$AN$102</f>
        <v>3695.625</v>
      </c>
      <c r="I25" s="450">
        <f>I23*'Interne Berechunung'!$AZ$102</f>
        <v>25623</v>
      </c>
      <c r="K25" s="456"/>
      <c r="L25" s="457"/>
      <c r="M25" s="459"/>
      <c r="N25" s="459"/>
      <c r="O25" s="459"/>
    </row>
    <row r="26" spans="1:16" s="446" customFormat="1" ht="3.95" customHeight="1" thickTop="1" x14ac:dyDescent="0.25">
      <c r="A26" s="444"/>
      <c r="B26" s="453"/>
      <c r="C26" s="453"/>
      <c r="D26" s="453"/>
      <c r="E26" s="453"/>
      <c r="F26" s="453"/>
      <c r="G26" s="453"/>
      <c r="H26" s="453"/>
      <c r="I26" s="453"/>
      <c r="J26" s="4"/>
      <c r="K26" s="4"/>
      <c r="M26" s="448"/>
      <c r="N26" s="452"/>
      <c r="O26" s="448"/>
    </row>
    <row r="27" spans="1:16" s="446" customFormat="1" ht="3.95" customHeight="1" thickBot="1" x14ac:dyDescent="0.3">
      <c r="A27" s="444"/>
      <c r="B27" s="451"/>
      <c r="C27" s="294"/>
      <c r="D27" s="294"/>
      <c r="E27" s="294"/>
      <c r="F27" s="294"/>
      <c r="G27" s="294"/>
      <c r="H27" s="294"/>
      <c r="I27" s="294"/>
      <c r="J27" s="4"/>
      <c r="K27" s="4"/>
      <c r="M27" s="448"/>
      <c r="N27" s="452"/>
      <c r="O27" s="448"/>
    </row>
    <row r="28" spans="1:16" ht="32.1" customHeight="1" thickTop="1" x14ac:dyDescent="0.2">
      <c r="B28" s="614" t="s">
        <v>710</v>
      </c>
      <c r="C28" s="615" t="s">
        <v>861</v>
      </c>
      <c r="D28" s="616" t="s">
        <v>862</v>
      </c>
      <c r="E28" s="617" t="s">
        <v>706</v>
      </c>
      <c r="F28" s="784"/>
      <c r="G28" s="784"/>
      <c r="H28" s="614" t="s">
        <v>860</v>
      </c>
      <c r="I28" s="617" t="s">
        <v>636</v>
      </c>
      <c r="J28" s="23"/>
      <c r="K28" s="23"/>
    </row>
    <row r="29" spans="1:16" ht="21" customHeight="1" x14ac:dyDescent="0.2">
      <c r="B29" s="610" t="s">
        <v>709</v>
      </c>
      <c r="C29" s="611">
        <v>2010</v>
      </c>
      <c r="D29" s="612">
        <v>2080</v>
      </c>
      <c r="E29" s="613">
        <v>2080</v>
      </c>
      <c r="F29" s="784"/>
      <c r="G29" s="784"/>
      <c r="H29" s="610">
        <v>2080</v>
      </c>
      <c r="I29" s="613">
        <v>2080</v>
      </c>
      <c r="J29" s="23"/>
      <c r="K29" s="23"/>
    </row>
    <row r="30" spans="1:16" ht="17.100000000000001" customHeight="1" x14ac:dyDescent="0.25">
      <c r="B30" s="479" t="s">
        <v>620</v>
      </c>
      <c r="C30" s="472">
        <f>1000*C7*'Ausgabe Kennwerte'!C16</f>
        <v>-12562.5</v>
      </c>
      <c r="D30" s="296">
        <f>1000*D7*'Ausgabe Kennwerte'!D16</f>
        <v>-7050</v>
      </c>
      <c r="E30" s="300">
        <f>1000*E7*'Ausgabe Kennwerte'!E16</f>
        <v>-3112.5</v>
      </c>
      <c r="F30" s="297"/>
      <c r="G30" s="297"/>
      <c r="H30" s="786">
        <f>1000*H7*'Ausgabe Kennwerte'!H16</f>
        <v>-9625</v>
      </c>
      <c r="I30" s="300">
        <f>1000*I7*'Ausgabe Kennwerte'!I16</f>
        <v>-4187.5</v>
      </c>
    </row>
    <row r="31" spans="1:16" ht="17.100000000000001" customHeight="1" x14ac:dyDescent="0.25">
      <c r="B31" s="479" t="s">
        <v>774</v>
      </c>
      <c r="C31" s="472">
        <f>1000*C8*'Ausgabe Kennwerte'!C17</f>
        <v>0</v>
      </c>
      <c r="D31" s="296">
        <f>1000*D8*'Ausgabe Kennwerte'!D17</f>
        <v>0</v>
      </c>
      <c r="E31" s="300">
        <f>1000*E8*'Ausgabe Kennwerte'!E17</f>
        <v>-3240</v>
      </c>
      <c r="F31" s="297"/>
      <c r="G31" s="297"/>
      <c r="H31" s="786">
        <f>1000*H8*'Ausgabe Kennwerte'!H17</f>
        <v>0</v>
      </c>
      <c r="I31" s="300">
        <f>1000*I8*'Ausgabe Kennwerte'!I17</f>
        <v>-4481.25</v>
      </c>
      <c r="M31" s="228"/>
    </row>
    <row r="32" spans="1:16" ht="17.100000000000001" customHeight="1" x14ac:dyDescent="0.25">
      <c r="B32" s="479" t="s">
        <v>369</v>
      </c>
      <c r="C32" s="472">
        <v>0</v>
      </c>
      <c r="D32" s="296">
        <f>1000*D9*'Ausgabe Kennwerte'!D18</f>
        <v>-3206.25</v>
      </c>
      <c r="E32" s="300">
        <f>1000*E9*'Ausgabe Kennwerte'!E18</f>
        <v>-6450</v>
      </c>
      <c r="F32" s="297"/>
      <c r="G32" s="297"/>
      <c r="H32" s="786">
        <f>1000*H9*'Ausgabe Kennwerte'!H18</f>
        <v>-2767.5</v>
      </c>
      <c r="I32" s="300">
        <f>1000*I9*'Ausgabe Kennwerte'!I18</f>
        <v>-5550</v>
      </c>
      <c r="M32" s="228"/>
    </row>
    <row r="33" spans="2:14" ht="17.100000000000001" customHeight="1" x14ac:dyDescent="0.25">
      <c r="B33" s="479" t="s">
        <v>505</v>
      </c>
      <c r="C33" s="472">
        <f>1000*C8*'Ausgabe Kennwerte'!C18</f>
        <v>0</v>
      </c>
      <c r="D33" s="296">
        <f>1000*D8*'Ausgabe Kennwerte'!D19</f>
        <v>0</v>
      </c>
      <c r="E33" s="300">
        <f>1000*E10*'Ausgabe Kennwerte'!E19</f>
        <v>-7680</v>
      </c>
      <c r="F33" s="297"/>
      <c r="G33" s="297"/>
      <c r="H33" s="786">
        <f>1000*H8*'Ausgabe Kennwerte'!H19</f>
        <v>0</v>
      </c>
      <c r="I33" s="300">
        <f>1000*I10*'Ausgabe Kennwerte'!I19</f>
        <v>-10162.5</v>
      </c>
    </row>
    <row r="34" spans="2:14" ht="17.100000000000001" customHeight="1" x14ac:dyDescent="0.25">
      <c r="B34" s="479" t="s">
        <v>667</v>
      </c>
      <c r="C34" s="472">
        <f>1000*'Ausgabe Kennwerte'!C20*C11</f>
        <v>-2415.4181250000001</v>
      </c>
      <c r="D34" s="296">
        <f>1000*'Ausgabe Kennwerte'!D20*D11</f>
        <v>-1802.13105</v>
      </c>
      <c r="E34" s="300">
        <f>1000*E11*'Ausgabe Kennwerte'!E20</f>
        <v>0</v>
      </c>
      <c r="F34" s="297"/>
      <c r="G34" s="297"/>
      <c r="H34" s="786">
        <f>'Ausgabe Kennwerte'!H20*H11*1000</f>
        <v>-2032.9181250000001</v>
      </c>
      <c r="I34" s="300">
        <v>0</v>
      </c>
    </row>
    <row r="35" spans="2:14" ht="17.100000000000001" customHeight="1" x14ac:dyDescent="0.25">
      <c r="B35" s="479" t="s">
        <v>506</v>
      </c>
      <c r="C35" s="472">
        <f>1000*C12*'Ausgabe Kennwerte'!C21</f>
        <v>-20000</v>
      </c>
      <c r="D35" s="296">
        <f>1000*D12*'Ausgabe Kennwerte'!D21</f>
        <v>-8728.3545799999993</v>
      </c>
      <c r="E35" s="300">
        <f>1000*E12*'Ausgabe Kennwerte'!E21</f>
        <v>0</v>
      </c>
      <c r="F35" s="297"/>
      <c r="G35" s="297"/>
      <c r="H35" s="786">
        <f>1000*H12*'Ausgabe Kennwerte'!H21</f>
        <v>-10525.62025</v>
      </c>
      <c r="I35" s="300">
        <f>1000*I12*'Ausgabe Kennwerte'!I21</f>
        <v>0</v>
      </c>
    </row>
    <row r="36" spans="2:14" ht="17.100000000000001" customHeight="1" x14ac:dyDescent="0.25">
      <c r="B36" s="479" t="s">
        <v>396</v>
      </c>
      <c r="C36" s="472">
        <f>1000*C13*'Ausgabe Kennwerte'!C22</f>
        <v>0</v>
      </c>
      <c r="D36" s="296">
        <f>1000*D13*'Ausgabe Kennwerte'!D22</f>
        <v>-1484.8200000000002</v>
      </c>
      <c r="E36" s="300">
        <f>1000*E14*'Ausgabe Kennwerte'!E22</f>
        <v>-2916.828</v>
      </c>
      <c r="F36" s="297"/>
      <c r="G36" s="297"/>
      <c r="H36" s="786">
        <f>1000*H13*'Ausgabe Kennwerte'!H22</f>
        <v>-2062.25</v>
      </c>
      <c r="I36" s="300">
        <f>1000*I14*'Ausgabe Kennwerte'!I22</f>
        <v>-4151.1500000000005</v>
      </c>
    </row>
    <row r="37" spans="2:14" ht="17.100000000000001" customHeight="1" x14ac:dyDescent="0.25">
      <c r="B37" s="479" t="s">
        <v>202</v>
      </c>
      <c r="C37" s="472">
        <f>1000*C13*'Ausgabe Kennwerte'!C23</f>
        <v>0</v>
      </c>
      <c r="D37" s="296">
        <f>1000*D13*'Ausgabe Kennwerte'!D23</f>
        <v>-1531.2206249999999</v>
      </c>
      <c r="E37" s="300">
        <f>1000*E14*'Ausgabe Kennwerte'!E23</f>
        <v>-3007.9788749999998</v>
      </c>
      <c r="F37" s="297"/>
      <c r="G37" s="297"/>
      <c r="H37" s="786">
        <f>1000*H13*'Ausgabe Kennwerte'!H23</f>
        <v>-2126.6953125</v>
      </c>
      <c r="I37" s="300">
        <f>1000*I14*'Ausgabe Kennwerte'!I23</f>
        <v>-4280.8734374999995</v>
      </c>
    </row>
    <row r="38" spans="2:14" ht="17.100000000000001" customHeight="1" x14ac:dyDescent="0.25">
      <c r="B38" s="479" t="s">
        <v>451</v>
      </c>
      <c r="C38" s="472">
        <v>0</v>
      </c>
      <c r="D38" s="296">
        <f>1000*D13*'Ausgabe Kennwerte'!D24</f>
        <v>-8352.1125000000011</v>
      </c>
      <c r="E38" s="300">
        <f>1000*E14*'Ausgabe Kennwerte'!E24</f>
        <v>-16407.157500000001</v>
      </c>
      <c r="F38" s="297"/>
      <c r="G38" s="297"/>
      <c r="H38" s="786">
        <f>1000*H13*'Ausgabe Kennwerte'!H24</f>
        <v>-11600.15625</v>
      </c>
      <c r="I38" s="300">
        <f>1000*I14*'Ausgabe Kennwerte'!I24</f>
        <v>-23350.21875</v>
      </c>
    </row>
    <row r="39" spans="2:14" ht="17.100000000000001" customHeight="1" x14ac:dyDescent="0.25">
      <c r="B39" s="479" t="s">
        <v>507</v>
      </c>
      <c r="C39" s="472">
        <v>0</v>
      </c>
      <c r="D39" s="296">
        <v>0</v>
      </c>
      <c r="E39" s="300">
        <f>1000*E14*'Ausgabe Kennwerte'!E25</f>
        <v>-2734.5262499999999</v>
      </c>
      <c r="F39" s="297"/>
      <c r="G39" s="297"/>
      <c r="H39" s="786">
        <v>0</v>
      </c>
      <c r="I39" s="300">
        <f>1000*I14*'Ausgabe Kennwerte'!I25</f>
        <v>-3891.703125</v>
      </c>
    </row>
    <row r="40" spans="2:14" ht="17.100000000000001" customHeight="1" x14ac:dyDescent="0.25">
      <c r="B40" s="479" t="s">
        <v>526</v>
      </c>
      <c r="C40" s="472">
        <f>1000*C9*'Ausgabe Kennwerte'!C26</f>
        <v>0</v>
      </c>
      <c r="D40" s="296">
        <f>1000*D9*'Ausgabe Kennwerte'!D26</f>
        <v>0</v>
      </c>
      <c r="E40" s="300">
        <f>1000*E14*'Ausgabe Kennwerte'!E26</f>
        <v>-4500</v>
      </c>
      <c r="F40" s="297"/>
      <c r="G40" s="297"/>
      <c r="H40" s="786">
        <f>1000*H9*'Ausgabe Kennwerte'!H26</f>
        <v>0</v>
      </c>
      <c r="I40" s="300">
        <f>1000*I14*'Ausgabe Kennwerte'!I26</f>
        <v>-6250</v>
      </c>
    </row>
    <row r="41" spans="2:14" ht="17.100000000000001" customHeight="1" x14ac:dyDescent="0.25">
      <c r="B41" s="468" t="s">
        <v>35</v>
      </c>
      <c r="C41" s="472">
        <f>1000*C8*'Ausgabe Kennwerte'!C27</f>
        <v>0</v>
      </c>
      <c r="D41" s="296">
        <f>1000*D12*'Ausgabe Kennwerte'!D27</f>
        <v>43641.772899999996</v>
      </c>
      <c r="E41" s="300">
        <f>1000*E8*'Ausgabe Kennwerte'!E27</f>
        <v>183600</v>
      </c>
      <c r="F41" s="297"/>
      <c r="G41" s="297"/>
      <c r="H41" s="786">
        <f>1000*H12*'Ausgabe Kennwerte'!H27</f>
        <v>52628.10125</v>
      </c>
      <c r="I41" s="300">
        <f>1000*I8*'Ausgabe Kennwerte'!I27</f>
        <v>253937.5</v>
      </c>
    </row>
    <row r="42" spans="2:14" ht="17.100000000000001" customHeight="1" x14ac:dyDescent="0.25">
      <c r="B42" s="479" t="s">
        <v>111</v>
      </c>
      <c r="C42" s="472">
        <f>1000*C8*'Ausgabe Kennwerte'!C28</f>
        <v>0</v>
      </c>
      <c r="D42" s="296">
        <f>1000*D8*'Ausgabe Kennwerte'!D28</f>
        <v>0</v>
      </c>
      <c r="E42" s="300">
        <f>1000*E14*'Ausgabe Kennwerte'!E28</f>
        <v>-29991.375000000004</v>
      </c>
      <c r="F42" s="297"/>
      <c r="G42" s="297"/>
      <c r="H42" s="786">
        <f>1000*H8*'Ausgabe Kennwerte'!H28</f>
        <v>0</v>
      </c>
      <c r="I42" s="300">
        <f>1000*I14*'Ausgabe Kennwerte'!I28</f>
        <v>-41654.6875</v>
      </c>
      <c r="L42" s="297"/>
      <c r="M42" s="297"/>
      <c r="N42" s="297"/>
    </row>
    <row r="43" spans="2:14" ht="17.100000000000001" customHeight="1" x14ac:dyDescent="0.25">
      <c r="B43" s="471" t="s">
        <v>92</v>
      </c>
      <c r="C43" s="473">
        <f>1000*C8*'Ausgabe Kennwerte'!C29</f>
        <v>0</v>
      </c>
      <c r="D43" s="298">
        <f>1000*D8*'Ausgabe Kennwerte'!D29</f>
        <v>0</v>
      </c>
      <c r="E43" s="299">
        <f>1000*E14*'Ausgabe Kennwerte'!E29</f>
        <v>4040.9999999999995</v>
      </c>
      <c r="F43" s="297"/>
      <c r="G43" s="297"/>
      <c r="H43" s="787">
        <f>1000*H8*'Ausgabe Kennwerte'!H29</f>
        <v>0</v>
      </c>
      <c r="I43" s="299">
        <f>1000*I14*'Ausgabe Kennwerte'!I29</f>
        <v>5612.5</v>
      </c>
      <c r="L43" s="297"/>
      <c r="M43" s="297"/>
      <c r="N43" s="297"/>
    </row>
    <row r="44" spans="2:14" ht="17.100000000000001" customHeight="1" x14ac:dyDescent="0.25">
      <c r="B44" s="479" t="s">
        <v>771</v>
      </c>
      <c r="C44" s="472">
        <f>SUM(C30,C31,C32,C33,C34,C35,C36,C37,C39,C40,C43,)</f>
        <v>-34977.918124999997</v>
      </c>
      <c r="D44" s="296">
        <f>SUM(D30,D31,D32,D33,D34,D35,D36,D37,D39,D40,D43,)</f>
        <v>-23802.776254999997</v>
      </c>
      <c r="E44" s="300">
        <f>SUM(E30,E31,E32,E33,E34,E35,E36,E37,E39,E40,E43,)</f>
        <v>-29600.833125000005</v>
      </c>
      <c r="F44" s="297"/>
      <c r="G44" s="297"/>
      <c r="H44" s="786">
        <f>SUM(H30,H31,H32,H33,H34,H35,H36,H37,H39,H40,H43,)</f>
        <v>-29139.9836875</v>
      </c>
      <c r="I44" s="300">
        <f>SUM(I30,I31,I32,I33,I34,I35,I36,I37,I39,I40,I43,)</f>
        <v>-37342.4765625</v>
      </c>
      <c r="L44" s="297"/>
      <c r="M44" s="297"/>
      <c r="N44" s="297"/>
    </row>
    <row r="45" spans="2:14" ht="17.100000000000001" customHeight="1" x14ac:dyDescent="0.25">
      <c r="B45" s="479" t="s">
        <v>460</v>
      </c>
      <c r="C45" s="472">
        <f>SUM(C38,C41,C42,)</f>
        <v>0</v>
      </c>
      <c r="D45" s="296">
        <f>SUM(D38,D41,D42,)</f>
        <v>35289.660399999993</v>
      </c>
      <c r="E45" s="300">
        <f>SUM(E38,E41,E42,)</f>
        <v>137201.4675</v>
      </c>
      <c r="F45" s="297"/>
      <c r="G45" s="297"/>
      <c r="H45" s="786">
        <f>SUM(H38,H41,H42,)</f>
        <v>41027.945</v>
      </c>
      <c r="I45" s="300">
        <f>SUM(I38,I41,I42,)</f>
        <v>188932.59375</v>
      </c>
      <c r="L45" s="297"/>
      <c r="M45" s="297"/>
      <c r="N45" s="297"/>
    </row>
    <row r="46" spans="2:14" ht="17.100000000000001" customHeight="1" thickBot="1" x14ac:dyDescent="0.3">
      <c r="B46" s="464" t="s">
        <v>329</v>
      </c>
      <c r="C46" s="474">
        <f>C44+C45</f>
        <v>-34977.918124999997</v>
      </c>
      <c r="D46" s="291">
        <f>D44+D45</f>
        <v>11486.884144999996</v>
      </c>
      <c r="E46" s="301">
        <f>E44+E45</f>
        <v>107600.63437499999</v>
      </c>
      <c r="F46" s="757"/>
      <c r="G46" s="757"/>
      <c r="H46" s="788">
        <f>H44+H45</f>
        <v>11887.9613125</v>
      </c>
      <c r="I46" s="301">
        <f>I44+I45</f>
        <v>151590.1171875</v>
      </c>
      <c r="L46" s="757"/>
      <c r="M46" s="757"/>
      <c r="N46" s="757"/>
    </row>
    <row r="47" spans="2:14" s="228" customFormat="1" ht="3.95" customHeight="1" thickTop="1" x14ac:dyDescent="0.2"/>
    <row r="48" spans="2:14" s="228" customFormat="1" ht="14.1" hidden="1" customHeight="1" x14ac:dyDescent="0.2">
      <c r="B48" s="319" t="s">
        <v>808</v>
      </c>
      <c r="C48" s="455"/>
      <c r="D48" s="455"/>
      <c r="E48" s="455"/>
      <c r="F48" s="455"/>
      <c r="G48" s="455"/>
    </row>
    <row r="49" spans="1:16" s="228" customFormat="1" ht="14.1" customHeight="1" x14ac:dyDescent="0.2">
      <c r="B49" s="319"/>
      <c r="C49" s="455"/>
      <c r="D49" s="455"/>
      <c r="E49" s="455"/>
      <c r="F49" s="455"/>
      <c r="G49" s="455"/>
    </row>
    <row r="50" spans="1:16" s="228" customFormat="1" ht="14.1" customHeight="1" x14ac:dyDescent="0.2">
      <c r="B50" s="319"/>
    </row>
    <row r="51" spans="1:16" s="228" customFormat="1" ht="14.1" customHeight="1" x14ac:dyDescent="0.2">
      <c r="B51" s="319"/>
    </row>
    <row r="52" spans="1:16" s="228" customFormat="1" ht="14.1" hidden="1" customHeight="1" x14ac:dyDescent="0.2">
      <c r="B52" s="618" t="s">
        <v>739</v>
      </c>
      <c r="C52" s="601"/>
      <c r="D52" s="601"/>
      <c r="E52" s="601"/>
      <c r="F52" s="601"/>
      <c r="G52" s="601"/>
      <c r="H52" s="601"/>
      <c r="I52" s="601"/>
    </row>
    <row r="53" spans="1:16" s="228" customFormat="1" ht="15" hidden="1" customHeight="1" x14ac:dyDescent="0.2">
      <c r="A53" s="25"/>
      <c r="B53" s="228" t="s">
        <v>859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</row>
    <row r="54" spans="1:16" s="279" customFormat="1" ht="14.1" hidden="1" customHeight="1" x14ac:dyDescent="0.2">
      <c r="B54" s="279" t="s">
        <v>835</v>
      </c>
    </row>
    <row r="55" spans="1:16" s="228" customFormat="1" ht="14.25" hidden="1" x14ac:dyDescent="0.2">
      <c r="B55" s="228" t="s">
        <v>696</v>
      </c>
      <c r="C55" s="455"/>
      <c r="D55" s="455"/>
      <c r="E55" s="455"/>
      <c r="F55" s="455"/>
      <c r="G55" s="455"/>
      <c r="H55" s="455"/>
      <c r="I55" s="455"/>
    </row>
    <row r="56" spans="1:16" s="228" customFormat="1" ht="14.25" x14ac:dyDescent="0.2">
      <c r="D56" s="455"/>
      <c r="E56" s="455"/>
      <c r="F56" s="455"/>
      <c r="G56" s="455"/>
      <c r="H56" s="455"/>
      <c r="I56" s="455"/>
    </row>
    <row r="57" spans="1:16" s="228" customFormat="1" ht="14.25" x14ac:dyDescent="0.2">
      <c r="D57" s="455"/>
      <c r="E57" s="455"/>
      <c r="F57" s="455"/>
      <c r="G57" s="455"/>
      <c r="H57" s="455"/>
      <c r="I57" s="455"/>
    </row>
    <row r="58" spans="1:16" s="228" customFormat="1" ht="14.25" x14ac:dyDescent="0.2">
      <c r="D58" s="455"/>
    </row>
    <row r="59" spans="1:16" s="228" customFormat="1" ht="14.25" hidden="1" x14ac:dyDescent="0.2">
      <c r="B59" s="227">
        <v>1000000</v>
      </c>
    </row>
    <row r="60" spans="1:16" s="228" customFormat="1" ht="14.25" x14ac:dyDescent="0.2"/>
    <row r="61" spans="1:16" s="228" customFormat="1" ht="14.25" x14ac:dyDescent="0.2"/>
    <row r="62" spans="1:16" s="228" customFormat="1" ht="14.25" x14ac:dyDescent="0.2"/>
    <row r="63" spans="1:16" s="228" customFormat="1" ht="14.25" x14ac:dyDescent="0.2"/>
    <row r="64" spans="1:16" s="228" customFormat="1" ht="14.25" x14ac:dyDescent="0.2"/>
  </sheetData>
  <sheetProtection password="EDC3" sheet="1" objects="1" scenarios="1"/>
  <phoneticPr fontId="0" type="noConversion"/>
  <conditionalFormatting sqref="C7:I16 C27:I27 C19:I25 C30:I46 L42:N46">
    <cfRule type="cellIs" dxfId="0" priority="0" stopIfTrue="1" operator="lessThan">
      <formula>0</formula>
    </cfRule>
  </conditionalFormatting>
  <pageMargins left="0.98425196850393704" right="0.19685039370078741" top="0.78740157480314965" bottom="0.19685039370078741" header="0.31" footer="0.31"/>
  <headerFooter>
    <oddHeader>&amp;CBilanzierung kommunaler Wasserinfrastrukturen - BkW</oddHeader>
    <oddFooter>Seite &amp;P</oddFooter>
  </headerFooter>
  <ignoredErrors>
    <ignoredError sqref="E24:E25" formula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rgb="FFFF0000"/>
    <pageSetUpPr fitToPage="1"/>
  </sheetPr>
  <dimension ref="A1:P55"/>
  <sheetViews>
    <sheetView showGridLines="0" zoomScalePageLayoutView="90" workbookViewId="0">
      <selection activeCell="B2" sqref="B2"/>
    </sheetView>
  </sheetViews>
  <sheetFormatPr baseColWidth="10" defaultColWidth="11.42578125" defaultRowHeight="14.25" x14ac:dyDescent="0.25"/>
  <cols>
    <col min="1" max="1" width="0.7109375" style="318" customWidth="1"/>
    <col min="2" max="2" width="40.7109375" style="319" customWidth="1"/>
    <col min="3" max="5" width="13.7109375" style="319" customWidth="1"/>
    <col min="6" max="6" width="1" style="319" customWidth="1"/>
    <col min="7" max="7" width="1" style="319" hidden="1" customWidth="1"/>
    <col min="8" max="8" width="9.28515625" style="319" hidden="1" customWidth="1"/>
    <col min="9" max="9" width="10.7109375" style="319" hidden="1" customWidth="1"/>
    <col min="10" max="10" width="0.85546875" style="319" hidden="1" customWidth="1"/>
    <col min="11" max="11" width="13.28515625" style="319" customWidth="1"/>
    <col min="12" max="16384" width="11.42578125" style="319"/>
  </cols>
  <sheetData>
    <row r="1" spans="1:16" ht="3.95" customHeight="1" x14ac:dyDescent="0.25"/>
    <row r="2" spans="1:16" s="318" customFormat="1" ht="17.100000000000001" customHeight="1" x14ac:dyDescent="0.2">
      <c r="B2" s="320" t="s">
        <v>328</v>
      </c>
      <c r="C2" s="227"/>
      <c r="D2" s="227"/>
      <c r="E2" s="227"/>
      <c r="F2" s="227"/>
      <c r="G2" s="227"/>
      <c r="H2" s="280"/>
      <c r="I2" s="321"/>
      <c r="J2" s="322"/>
      <c r="K2" s="322"/>
    </row>
    <row r="3" spans="1:16" ht="17.100000000000001" customHeight="1" x14ac:dyDescent="0.2">
      <c r="B3" s="323"/>
      <c r="C3" s="260"/>
      <c r="D3" s="260"/>
      <c r="E3" s="260"/>
      <c r="F3" s="260"/>
      <c r="G3" s="260"/>
      <c r="H3" s="23"/>
      <c r="J3" s="324"/>
      <c r="K3" s="324"/>
    </row>
    <row r="4" spans="1:16" ht="3.95" customHeight="1" thickBot="1" x14ac:dyDescent="0.25">
      <c r="B4" s="323"/>
      <c r="C4" s="260"/>
      <c r="D4" s="260"/>
      <c r="E4" s="260"/>
      <c r="F4" s="260"/>
      <c r="G4" s="260"/>
      <c r="H4" s="23"/>
      <c r="J4" s="324"/>
      <c r="K4" s="324"/>
    </row>
    <row r="5" spans="1:16" s="23" customFormat="1" ht="32.1" customHeight="1" thickTop="1" x14ac:dyDescent="0.2">
      <c r="A5" s="228"/>
      <c r="B5" s="614" t="s">
        <v>643</v>
      </c>
      <c r="C5" s="615" t="s">
        <v>861</v>
      </c>
      <c r="D5" s="616" t="s">
        <v>862</v>
      </c>
      <c r="E5" s="617" t="s">
        <v>706</v>
      </c>
      <c r="F5" s="784"/>
      <c r="G5" s="784"/>
      <c r="H5" s="614" t="s">
        <v>860</v>
      </c>
      <c r="I5" s="617" t="s">
        <v>636</v>
      </c>
    </row>
    <row r="6" spans="1:16" s="23" customFormat="1" ht="21" customHeight="1" x14ac:dyDescent="0.2">
      <c r="A6" s="228"/>
      <c r="B6" s="610" t="s">
        <v>642</v>
      </c>
      <c r="C6" s="611">
        <v>2010</v>
      </c>
      <c r="D6" s="612">
        <v>2080</v>
      </c>
      <c r="E6" s="613">
        <v>2080</v>
      </c>
      <c r="F6" s="784"/>
      <c r="G6" s="784"/>
      <c r="H6" s="610">
        <v>2080</v>
      </c>
      <c r="I6" s="613">
        <v>2080</v>
      </c>
    </row>
    <row r="7" spans="1:16" ht="21" customHeight="1" x14ac:dyDescent="0.25">
      <c r="B7" s="514" t="s">
        <v>259</v>
      </c>
      <c r="C7" s="945">
        <f>'Ausgabe Mengenbilanzen'!C7*'Eingabe Annahmen'!$E$43</f>
        <v>50.25</v>
      </c>
      <c r="D7" s="946">
        <f>IF(SUM('Eingabe Eckdaten'!$L$19:$L$20)=0,'Ausgabe Mengenbilanzen'!D7*'Eingabe Annahmen'!$E$43,'Ausgabe Mengenbilanzen'!C7*'Eingabe Annahmen'!$E$43*'Eingabe Annahmen'!$F$44+'Ausgabe Mengenbilanzen'!D7*'Eingabe Annahmen'!$E$43*'Eingabe Annahmen'!$F$45)</f>
        <v>39.225000000000001</v>
      </c>
      <c r="E7" s="947">
        <f>IF(SUM('Eingabe Eckdaten'!$L$19:$L$20)=0,'Ausgabe Mengenbilanzen'!E7*'Eingabe Annahmen'!$E$43,'Ausgabe Mengenbilanzen'!C7*'Eingabe Annahmen'!$E$43*'Eingabe Annahmen'!$G$44+'Ausgabe Mengenbilanzen'!E7*'Eingabe Annahmen'!$E$43*'Eingabe Annahmen'!$G$45)</f>
        <v>27.57</v>
      </c>
      <c r="F7" s="426"/>
      <c r="G7" s="426"/>
      <c r="H7" s="794">
        <f>IF(SUM('Eingabe Eckdaten'!$L$19:$L$20)=0,'Ausgabe Mengenbilanzen'!H7*'Eingabe Annahmen'!$E$43,'Ausgabe Mengenbilanzen'!$C$7*'Eingabe Annahmen'!$E$43*'Eingabe Annahmen'!$E$44+'Ausgabe Mengenbilanzen'!H7*'Eingabe Annahmen'!$E$43*'Eingabe Annahmen'!$E$45)</f>
        <v>45.55</v>
      </c>
      <c r="I7" s="422">
        <f>IF(SUM('Eingabe Eckdaten'!$L$19:$L$20)=0,'Ausgabe Mengenbilanzen'!I7*'Eingabe Annahmen'!$E$43,'Ausgabe Mengenbilanzen'!$C$7*'Eingabe Annahmen'!$E$43*'Eingabe Annahmen'!$E$44+'Ausgabe Mengenbilanzen'!I7*'Eingabe Annahmen'!$E$43*'Eingabe Annahmen'!$E$45)</f>
        <v>36.85</v>
      </c>
      <c r="K7" s="431"/>
      <c r="L7" s="324"/>
      <c r="M7" s="324"/>
      <c r="N7" s="324"/>
      <c r="O7" s="324"/>
      <c r="P7" s="324"/>
    </row>
    <row r="8" spans="1:16" ht="31.5" customHeight="1" x14ac:dyDescent="0.25">
      <c r="B8" s="515" t="s">
        <v>193</v>
      </c>
      <c r="C8" s="956" t="s">
        <v>395</v>
      </c>
      <c r="D8" s="957" t="s">
        <v>395</v>
      </c>
      <c r="E8" s="949">
        <f>'Ausgabe Mengenbilanzen'!E$8*'Eingabe Annahmen'!$G$56</f>
        <v>10.8</v>
      </c>
      <c r="F8" s="424"/>
      <c r="G8" s="424"/>
      <c r="H8" s="795" t="s">
        <v>241</v>
      </c>
      <c r="I8" s="425">
        <f>'Ausgabe Mengenbilanzen'!I$8*'Eingabe Annahmen'!$G$56</f>
        <v>14.9375</v>
      </c>
      <c r="K8" s="325"/>
    </row>
    <row r="9" spans="1:16" ht="21" customHeight="1" x14ac:dyDescent="0.25">
      <c r="B9" s="515" t="s">
        <v>509</v>
      </c>
      <c r="C9" s="945">
        <f>('Ausgabe Mengenbilanzen'!C9+'Ausgabe Mengenbilanzen'!C11)*'Eingabe Annahmen'!$E$51</f>
        <v>23.927090624999998</v>
      </c>
      <c r="D9" s="950">
        <f>IF(SUM('Eingabe Eckdaten'!$L$19:$L$20)=0,'Ausgabe Mengenbilanzen'!D9*('Eingabe Annahmen'!$E$51+'Eingabe Annahmen'!$F$54)+'Ausgabe Mengenbilanzen'!D11*('Eingabe Annahmen'!$E$51+'Eingabe Annahmen'!$F$55),('Ausgabe Mengenbilanzen'!$C$9+'Ausgabe Mengenbilanzen'!$C$11)*'Eingabe Annahmen'!$E$51*'Eingabe Annahmen'!$E$52*'Eingabe Eckdaten'!$L$19+('Ausgabe Mengenbilanzen'!D9+'Ausgabe Mengenbilanzen'!D11)*'Eingabe Annahmen'!$E$51*'Eingabe Annahmen'!$E$53*'Eingabe Eckdaten'!$L$19+'Ausgabe Mengenbilanzen'!$C$12*'Eingabe Annahmen'!$E$46*0.5*'Eingabe Annahmen'!$E$47*0.2+('Ausgabe Mengenbilanzen'!D9+'Ausgabe Mengenbilanzen'!D11)*'Eingabe Annahmen'!$E$51*0.5*'Eingabe Annahmen'!$E$48*0.2+'Ausgabe Mengenbilanzen'!D9*'Eingabe Annahmen'!$F$54+'Ausgabe Mengenbilanzen'!D11*'Eingabe Annahmen'!$F$55)</f>
        <v>19.528701771249999</v>
      </c>
      <c r="E9" s="951">
        <f>IF(SUM('Eingabe Eckdaten'!$L$19:$L$20)=0,'Ausgabe Mengenbilanzen'!E9*('Eingabe Annahmen'!$E$51+'Eingabe Annahmen'!$F$54),('Ausgabe Mengenbilanzen'!$C$9+'Ausgabe Mengenbilanzen'!$C$11)*'Eingabe Annahmen'!$E$51*'Eingabe Annahmen'!$E$52*'Eingabe Eckdaten'!$L$19+'Ausgabe Mengenbilanzen'!E9*'Eingabe Annahmen'!$E$51*'Eingabe Annahmen'!$E$53*'Eingabe Eckdaten'!$L$19+'Ausgabe Mengenbilanzen'!$C$12*'Eingabe Annahmen'!$E$46*0.5*'Eingabe Annahmen'!$E$47*'Eingabe Eckdaten'!$L$20+'Ausgabe Mengenbilanzen'!E9*'Eingabe Annahmen'!$E$46*0.5*'Eingabe Annahmen'!$E$48*'Eingabe Eckdaten'!$L$20+'Ausgabe Mengenbilanzen'!E9*'Eingabe Annahmen'!$F$54)</f>
        <v>35.366472187499994</v>
      </c>
      <c r="F9" s="426"/>
      <c r="G9" s="426"/>
      <c r="H9" s="796">
        <f>IF(SUM('Eingabe Eckdaten'!$L$19:$L$20)=0,'Ausgabe Mengenbilanzen'!H9*('Eingabe Annahmen'!$E$51+'Eingabe Annahmen'!$F$54)+'Ausgabe Mengenbilanzen'!H11*('Eingabe Annahmen'!$E$51+'Eingabe Annahmen'!$F$55),('Ausgabe Mengenbilanzen'!$C$9+'Ausgabe Mengenbilanzen'!$C$11)*'Eingabe Annahmen'!$E$51*'Eingabe Annahmen'!$E$52*'Eingabe Eckdaten'!$L$19+('Ausgabe Mengenbilanzen'!H9+'Ausgabe Mengenbilanzen'!H11)*'Eingabe Annahmen'!$E$51*'Eingabe Annahmen'!$E$53*'Eingabe Eckdaten'!$L$19+'Ausgabe Mengenbilanzen'!$C$12*'Eingabe Annahmen'!$E$46*0.5*'Eingabe Annahmen'!$E$47*0.2+('Ausgabe Mengenbilanzen'!H9+'Ausgabe Mengenbilanzen'!H11)*'Eingabe Annahmen'!$E$51*0.5*'Eingabe Annahmen'!E48*0.2+'Ausgabe Mengenbilanzen'!H9*'Eingabe Annahmen'!$F$54+'Ausgabe Mengenbilanzen'!H11*'Eingabe Annahmen'!$F$55)</f>
        <v>19.092170546875</v>
      </c>
      <c r="I9" s="425">
        <f>IF(SUM('Eingabe Eckdaten'!$L$19:$L$20)=0,'Ausgabe Mengenbilanzen'!I9*('Eingabe Annahmen'!$E$51+'Eingabe Annahmen'!$F$54),('Ausgabe Mengenbilanzen'!$C$9+'Ausgabe Mengenbilanzen'!$C$11)*'Eingabe Annahmen'!$E$51*'Eingabe Annahmen'!$E$52*'Eingabe Eckdaten'!$L$19+'Ausgabe Mengenbilanzen'!I9*'Eingabe Annahmen'!$E$51*'Eingabe Annahmen'!$E$53*'Eingabe Eckdaten'!$L$19+'Ausgabe Mengenbilanzen'!$C$12*'Eingabe Annahmen'!$E$46*0.5*'Eingabe Annahmen'!$E$47*'Eingabe Eckdaten'!$L$20+'Ausgabe Mengenbilanzen'!I9*'Eingabe Annahmen'!$E$46*0.5*'Eingabe Annahmen'!$E$48*'Eingabe Eckdaten'!$L$20+'Ausgabe Mengenbilanzen'!I9*'Eingabe Annahmen'!$F$54)</f>
        <v>33.881472187499995</v>
      </c>
      <c r="K9" s="326"/>
    </row>
    <row r="10" spans="1:16" ht="21" customHeight="1" x14ac:dyDescent="0.25">
      <c r="B10" s="515" t="s">
        <v>510</v>
      </c>
      <c r="C10" s="956" t="s">
        <v>395</v>
      </c>
      <c r="D10" s="957" t="s">
        <v>395</v>
      </c>
      <c r="E10" s="949">
        <f>IF(SUM('Eingabe Eckdaten'!$L$19:$L$20)=0,'Ausgabe Mengenbilanzen'!E10*'Eingabe Annahmen'!$G$57*+'Ausgabe Mengenbilanzen'!E10*'Eingabe Annahmen'!$E$46*'Eingabe Annahmen'!$E$47*0.5+'Ausgabe Mengenbilanzen'!E10*'Eingabe Annahmen'!$E$46*'Eingabe Annahmen'!$E$48*0.5-E31,'Ausgabe Mengenbilanzen'!E10*'Eingabe Annahmen'!$G$57+'Ausgabe Mengenbilanzen'!C12*'Eingabe Annahmen'!$E$46*0.5*'Eingabe Annahmen'!G47*'Eingabe Eckdaten'!L19+'Ausgabe Mengenbilanzen'!E10*'Eingabe Annahmen'!$E$46*0.5*'Eingabe Annahmen'!G48*'Eingabe Eckdaten'!L19+'Ausgabe Mengenbilanzen'!E10*'Eingabe Annahmen'!E46*0.5*'Eingabe Annahmen'!G47*'Eingabe Eckdaten'!L20+'Ausgabe Mengenbilanzen'!E10*'Eingabe Annahmen'!E46*0.5*'Eingabe Annahmen'!G48*'Eingabe Eckdaten'!L20+'Ausgabe Mengenbilanzen'!E8*'Eingabe Annahmen'!G58-E31)</f>
        <v>31.719533125000002</v>
      </c>
      <c r="F10" s="424"/>
      <c r="G10" s="424"/>
      <c r="H10" s="797" t="s">
        <v>513</v>
      </c>
      <c r="I10" s="425">
        <f>IF(SUM('Eingabe Eckdaten'!$L$19:$L$20)=0,'Ausgabe Mengenbilanzen'!I10*'Eingabe Annahmen'!$G$57*+'Ausgabe Mengenbilanzen'!I10*'Eingabe Annahmen'!$E$46*'Eingabe Annahmen'!$E$47*0.5+'Ausgabe Mengenbilanzen'!I10*'Eingabe Annahmen'!$E$46*'Eingabe Annahmen'!$E$48*0.5-I31,'Ausgabe Mengenbilanzen'!I10*'Eingabe Annahmen'!$G$57+'Ausgabe Mengenbilanzen'!C12*'Eingabe Annahmen'!$E$46*0.5*'Eingabe Annahmen'!E47*'Eingabe Eckdaten'!L19+'Ausgabe Mengenbilanzen'!I10*'Eingabe Annahmen'!$E$46*0.5*'Eingabe Annahmen'!E48*'Eingabe Eckdaten'!L19+'Ausgabe Mengenbilanzen'!I10*'Eingabe Annahmen'!E46*0.5*'Eingabe Annahmen'!E47*'Eingabe Eckdaten'!L20+'Ausgabe Mengenbilanzen'!I10*'Eingabe Annahmen'!E46*0.5*'Eingabe Annahmen'!E48*'Eingabe Eckdaten'!L20+'Ausgabe Mengenbilanzen'!I8*'Eingabe Annahmen'!G58-I31)</f>
        <v>40.583271374999995</v>
      </c>
      <c r="K10" s="326"/>
    </row>
    <row r="11" spans="1:16" ht="21" customHeight="1" x14ac:dyDescent="0.25">
      <c r="B11" s="515" t="s">
        <v>720</v>
      </c>
      <c r="C11" s="950">
        <f>'Ausgabe Mengenbilanzen'!C12*'Eingabe Annahmen'!$E$46</f>
        <v>76.715331249999991</v>
      </c>
      <c r="D11" s="950">
        <f>IF(SUM('Eingabe Eckdaten'!$L$19:$L$20)=0,'Ausgabe Mengenbilanzen'!D12*'Eingabe Annahmen'!$E$46-(D30+D31)/B54,'Ausgabe Mengenbilanzen'!C12*'Eingabe Annahmen'!$E$46*0.5*'Eingabe Annahmen'!$F$47+'Ausgabe Mengenbilanzen'!D12*'Eingabe Annahmen'!$E$46*0.5*'Eingabe Annahmen'!$F$48+'Ausgabe Mengenbilanzen'!C12*'Eingabe Annahmen'!E46*0.5*'Eingabe Annahmen'!F47*0.8+'Ausgabe Mengenbilanzen'!D12*'Eingabe Annahmen'!E46*0.5*'Eingabe Annahmen'!F48*0.8+'Ausgabe Mengenbilanzen'!D12*'Eingabe Annahmen'!E46*0.5*0.2+'Ausgabe Mengenbilanzen'!D12*'Eingabe Annahmen'!F58-(D30+D31))</f>
        <v>79.730302026999993</v>
      </c>
      <c r="E11" s="958" t="s">
        <v>395</v>
      </c>
      <c r="F11" s="426"/>
      <c r="G11" s="426"/>
      <c r="H11" s="796">
        <f>IF(SUM('Eingabe Eckdaten'!$L$19:$L$20)=0,'Ausgabe Mengenbilanzen'!H12*'Eingabe Annahmen'!$E$46-(H30+H31)/B54,'Ausgabe Mengenbilanzen'!C12*'Eingabe Annahmen'!$E$46*0.5*'Eingabe Annahmen'!$E$47+'Ausgabe Mengenbilanzen'!H12*'Eingabe Annahmen'!$E$46*0.5*'Eingabe Annahmen'!$E$48+'Ausgabe Mengenbilanzen'!C12*'Eingabe Annahmen'!E46*0.5*'Eingabe Annahmen'!E47*0.8+'Ausgabe Mengenbilanzen'!H12*'Eingabe Annahmen'!E46*0.5*'Eingabe Annahmen'!E48*0.8+'Ausgabe Mengenbilanzen'!H12*'Eingabe Annahmen'!E46*0.5*0.2+'Ausgabe Mengenbilanzen'!H12*'Eingabe Annahmen'!F58-(H30+H31))</f>
        <v>88.582813896874981</v>
      </c>
      <c r="I11" s="427" t="s">
        <v>279</v>
      </c>
      <c r="K11" s="619"/>
      <c r="L11" s="620"/>
    </row>
    <row r="12" spans="1:16" ht="21" customHeight="1" x14ac:dyDescent="0.25">
      <c r="B12" s="515" t="s">
        <v>238</v>
      </c>
      <c r="C12" s="960" t="s">
        <v>395</v>
      </c>
      <c r="D12" s="948">
        <f>'Ausgabe Mengenbilanzen'!D13*'Eingabe Annahmen'!$F$59</f>
        <v>1.856025</v>
      </c>
      <c r="E12" s="959" t="s">
        <v>395</v>
      </c>
      <c r="F12" s="428"/>
      <c r="G12" s="428"/>
      <c r="H12" s="796">
        <f>'Ausgabe Mengenbilanzen'!H13*'Eingabe Annahmen'!$F$59</f>
        <v>2.5778124999999998</v>
      </c>
      <c r="I12" s="429" t="s">
        <v>362</v>
      </c>
      <c r="K12" s="621"/>
      <c r="L12" s="620"/>
    </row>
    <row r="13" spans="1:16" ht="21" customHeight="1" x14ac:dyDescent="0.25">
      <c r="B13" s="515" t="s">
        <v>247</v>
      </c>
      <c r="C13" s="961" t="s">
        <v>395</v>
      </c>
      <c r="D13" s="962" t="s">
        <v>395</v>
      </c>
      <c r="E13" s="952">
        <f>'Ausgabe Mengenbilanzen'!E14*'Eingabe Annahmen'!$G$60-(E30+E32)</f>
        <v>35.4605958</v>
      </c>
      <c r="F13" s="428"/>
      <c r="G13" s="428"/>
      <c r="H13" s="798" t="s">
        <v>237</v>
      </c>
      <c r="I13" s="427">
        <f>'Ausgabe Mengenbilanzen'!I14*'Eingabe Annahmen'!$G$60-(I30+I32)</f>
        <v>50.5008275</v>
      </c>
      <c r="K13" s="621"/>
      <c r="L13" s="928"/>
      <c r="M13" s="929"/>
      <c r="N13" s="929"/>
    </row>
    <row r="14" spans="1:16" ht="26.1" customHeight="1" thickBot="1" x14ac:dyDescent="0.3">
      <c r="B14" s="517" t="s">
        <v>102</v>
      </c>
      <c r="C14" s="953">
        <f>SUM(C7:C13)</f>
        <v>150.892421875</v>
      </c>
      <c r="D14" s="954">
        <f>SUM(D7:D13)</f>
        <v>140.34002879824999</v>
      </c>
      <c r="E14" s="955">
        <f>SUM(E7:E13)</f>
        <v>140.91660111249999</v>
      </c>
      <c r="F14" s="805"/>
      <c r="G14" s="805"/>
      <c r="H14" s="799">
        <f>SUM(H7:H13)</f>
        <v>155.80279694374997</v>
      </c>
      <c r="I14" s="430">
        <f>SUM(I7:I13)</f>
        <v>176.7530710625</v>
      </c>
      <c r="L14" s="931"/>
      <c r="M14" s="930"/>
      <c r="N14" s="932"/>
      <c r="O14" s="755"/>
    </row>
    <row r="15" spans="1:16" ht="3.95" customHeight="1" thickTop="1" x14ac:dyDescent="0.25">
      <c r="B15" s="302"/>
      <c r="C15" s="48"/>
      <c r="D15" s="48"/>
      <c r="E15" s="48"/>
      <c r="F15" s="806"/>
      <c r="G15" s="806"/>
      <c r="H15" s="48"/>
      <c r="I15" s="48"/>
      <c r="L15" s="932"/>
      <c r="M15" s="932"/>
      <c r="N15" s="932"/>
      <c r="O15" s="755"/>
    </row>
    <row r="16" spans="1:16" ht="3.95" customHeight="1" thickBot="1" x14ac:dyDescent="0.3">
      <c r="C16" s="475"/>
      <c r="D16" s="327"/>
      <c r="E16" s="327"/>
      <c r="F16" s="475"/>
      <c r="G16" s="475"/>
      <c r="H16" s="327"/>
      <c r="I16" s="327"/>
      <c r="L16" s="932"/>
      <c r="M16" s="932"/>
      <c r="N16" s="932"/>
      <c r="O16" s="755"/>
    </row>
    <row r="17" spans="1:15" s="23" customFormat="1" ht="32.1" customHeight="1" thickTop="1" x14ac:dyDescent="0.2">
      <c r="A17" s="228"/>
      <c r="B17" s="614" t="s">
        <v>644</v>
      </c>
      <c r="C17" s="615" t="s">
        <v>861</v>
      </c>
      <c r="D17" s="616" t="s">
        <v>862</v>
      </c>
      <c r="E17" s="617" t="s">
        <v>706</v>
      </c>
      <c r="F17" s="784"/>
      <c r="G17" s="784"/>
      <c r="H17" s="614" t="s">
        <v>860</v>
      </c>
      <c r="I17" s="617" t="s">
        <v>636</v>
      </c>
      <c r="L17" s="933"/>
      <c r="M17" s="933"/>
      <c r="N17" s="933"/>
      <c r="O17" s="756"/>
    </row>
    <row r="18" spans="1:15" s="23" customFormat="1" ht="21" customHeight="1" x14ac:dyDescent="0.2">
      <c r="A18" s="228"/>
      <c r="B18" s="610" t="s">
        <v>645</v>
      </c>
      <c r="C18" s="611">
        <v>2010</v>
      </c>
      <c r="D18" s="612">
        <v>2080</v>
      </c>
      <c r="E18" s="613">
        <v>2080</v>
      </c>
      <c r="F18" s="784"/>
      <c r="G18" s="784"/>
      <c r="H18" s="610">
        <v>2080</v>
      </c>
      <c r="I18" s="613">
        <v>2080</v>
      </c>
      <c r="L18" s="933"/>
      <c r="M18" s="933"/>
      <c r="N18" s="933"/>
      <c r="O18" s="756"/>
    </row>
    <row r="19" spans="1:15" ht="21" customHeight="1" x14ac:dyDescent="0.25">
      <c r="B19" s="328" t="s">
        <v>280</v>
      </c>
      <c r="C19" s="963">
        <f>C7/'Ausgabe Mengenbilanzen'!C7</f>
        <v>2</v>
      </c>
      <c r="D19" s="963">
        <f>D7/'Ausgabe Mengenbilanzen'!D7</f>
        <v>2.7819148936170213</v>
      </c>
      <c r="E19" s="964">
        <f>E7/'Ausgabe Mengenbilanzen'!E7</f>
        <v>4.4289156626506028</v>
      </c>
      <c r="F19" s="632"/>
      <c r="G19" s="632"/>
      <c r="H19" s="800">
        <f>H7/'Ausgabe Mengenbilanzen'!H7</f>
        <v>2.366233766233766</v>
      </c>
      <c r="I19" s="630">
        <f>I7/'Ausgabe Mengenbilanzen'!I7</f>
        <v>4.4000000000000004</v>
      </c>
      <c r="L19" s="926"/>
      <c r="M19" s="926"/>
      <c r="N19" s="926"/>
      <c r="O19" s="755"/>
    </row>
    <row r="20" spans="1:15" ht="30.95" customHeight="1" x14ac:dyDescent="0.25">
      <c r="B20" s="516" t="s">
        <v>185</v>
      </c>
      <c r="C20" s="631" t="s">
        <v>513</v>
      </c>
      <c r="D20" s="629" t="s">
        <v>513</v>
      </c>
      <c r="E20" s="964">
        <f>(E8+E10)/('Ausgabe Mengenbilanzen'!E8+'Ausgabe Mengenbilanzen'!E10)</f>
        <v>1.8016751324152542</v>
      </c>
      <c r="F20" s="632"/>
      <c r="G20" s="632"/>
      <c r="H20" s="800" t="s">
        <v>513</v>
      </c>
      <c r="I20" s="633">
        <f>(I8+I10)/('Ausgabe Mengenbilanzen'!I8+'Ausgabe Mengenbilanzen'!I10)</f>
        <v>1.7418281215686273</v>
      </c>
      <c r="L20" s="926"/>
      <c r="M20" s="927"/>
      <c r="N20" s="926"/>
      <c r="O20" s="755"/>
    </row>
    <row r="21" spans="1:15" ht="21" customHeight="1" x14ac:dyDescent="0.25">
      <c r="B21" s="328" t="s">
        <v>479</v>
      </c>
      <c r="C21" s="963">
        <f>C11/'Ausgabe Mengenbilanzen'!C12</f>
        <v>2.4999999999999996</v>
      </c>
      <c r="D21" s="963">
        <f>(D11+D12)/('Ausgabe Mengenbilanzen'!D12+'Ausgabe Mengenbilanzen'!D13)</f>
        <v>3.5863857501991316</v>
      </c>
      <c r="E21" s="633" t="s">
        <v>248</v>
      </c>
      <c r="F21" s="632"/>
      <c r="G21" s="632"/>
      <c r="H21" s="800">
        <f>(H11+H12)/('Ausgabe Mengenbilanzen'!H12+'Ausgabe Mengenbilanzen'!H13)</f>
        <v>3.3025674318043499</v>
      </c>
      <c r="I21" s="633" t="s">
        <v>248</v>
      </c>
      <c r="K21" s="326"/>
      <c r="L21" s="927"/>
      <c r="M21" s="926"/>
      <c r="N21" s="927"/>
      <c r="O21" s="755"/>
    </row>
    <row r="22" spans="1:15" ht="21" customHeight="1" x14ac:dyDescent="0.25">
      <c r="B22" s="328" t="s">
        <v>166</v>
      </c>
      <c r="C22" s="631" t="s">
        <v>248</v>
      </c>
      <c r="D22" s="629" t="s">
        <v>248</v>
      </c>
      <c r="E22" s="964">
        <f>E13/'Ausgabe Mengenbilanzen'!E14</f>
        <v>19.451593744985992</v>
      </c>
      <c r="F22" s="632"/>
      <c r="G22" s="632"/>
      <c r="H22" s="800" t="s">
        <v>248</v>
      </c>
      <c r="I22" s="633">
        <f>I13/'Ausgabe Mengenbilanzen'!I14</f>
        <v>19.464804692675525</v>
      </c>
      <c r="K22" s="326"/>
      <c r="L22" s="926"/>
      <c r="M22" s="927"/>
      <c r="N22" s="926"/>
      <c r="O22" s="755"/>
    </row>
    <row r="23" spans="1:15" ht="21" customHeight="1" thickBot="1" x14ac:dyDescent="0.3">
      <c r="B23" s="329" t="s">
        <v>334</v>
      </c>
      <c r="C23" s="965">
        <f>C9/('Ausgabe Mengenbilanzen'!C9+'Ausgabe Mengenbilanzen'!C11)</f>
        <v>2.5</v>
      </c>
      <c r="D23" s="965">
        <f>D9/('Ausgabe Mengenbilanzen'!D9+'Ausgabe Mengenbilanzen'!D11)</f>
        <v>2.3773072280890815</v>
      </c>
      <c r="E23" s="966">
        <f>E9/'Ausgabe Mengenbilanzen'!E9</f>
        <v>2.7415869912790694</v>
      </c>
      <c r="F23" s="632"/>
      <c r="G23" s="632"/>
      <c r="H23" s="801">
        <f>H9/('Ausgabe Mengenbilanzen'!H9+'Ausgabe Mengenbilanzen'!H11)</f>
        <v>2.5227771008522901</v>
      </c>
      <c r="I23" s="634">
        <f>I9/'Ausgabe Mengenbilanzen'!I9</f>
        <v>3.0523848817567565</v>
      </c>
      <c r="L23" s="926"/>
      <c r="M23" s="926"/>
      <c r="N23" s="926"/>
      <c r="O23" s="755"/>
    </row>
    <row r="24" spans="1:15" ht="3.95" customHeight="1" thickTop="1" x14ac:dyDescent="0.25">
      <c r="C24" s="330"/>
      <c r="D24" s="330"/>
      <c r="E24" s="330"/>
      <c r="F24" s="331"/>
      <c r="G24" s="331"/>
      <c r="H24" s="330"/>
      <c r="I24" s="331"/>
      <c r="J24" s="324"/>
      <c r="L24" s="927"/>
      <c r="M24" s="927"/>
      <c r="N24" s="927"/>
      <c r="O24" s="755"/>
    </row>
    <row r="25" spans="1:15" ht="3.95" customHeight="1" thickBot="1" x14ac:dyDescent="0.3">
      <c r="C25" s="330"/>
      <c r="D25" s="330"/>
      <c r="E25" s="330"/>
      <c r="F25" s="331"/>
      <c r="G25" s="331"/>
      <c r="H25" s="330"/>
      <c r="I25" s="331"/>
      <c r="J25" s="324"/>
      <c r="L25" s="927"/>
      <c r="M25" s="927"/>
      <c r="N25" s="927"/>
      <c r="O25" s="755"/>
    </row>
    <row r="26" spans="1:15" s="23" customFormat="1" ht="32.1" customHeight="1" thickTop="1" x14ac:dyDescent="0.2">
      <c r="A26" s="228"/>
      <c r="B26" s="614" t="s">
        <v>646</v>
      </c>
      <c r="C26" s="615" t="s">
        <v>861</v>
      </c>
      <c r="D26" s="616" t="s">
        <v>862</v>
      </c>
      <c r="E26" s="617" t="s">
        <v>706</v>
      </c>
      <c r="F26" s="784"/>
      <c r="G26" s="784"/>
      <c r="H26" s="614" t="s">
        <v>860</v>
      </c>
      <c r="I26" s="617" t="s">
        <v>636</v>
      </c>
      <c r="L26" s="934"/>
      <c r="M26" s="934"/>
      <c r="N26" s="934"/>
      <c r="O26" s="756"/>
    </row>
    <row r="27" spans="1:15" s="23" customFormat="1" ht="21" customHeight="1" x14ac:dyDescent="0.2">
      <c r="A27" s="228"/>
      <c r="B27" s="610" t="s">
        <v>647</v>
      </c>
      <c r="C27" s="611">
        <v>2010</v>
      </c>
      <c r="D27" s="612">
        <v>2080</v>
      </c>
      <c r="E27" s="613">
        <v>2080</v>
      </c>
      <c r="F27" s="784"/>
      <c r="G27" s="784"/>
      <c r="H27" s="610">
        <v>2080</v>
      </c>
      <c r="I27" s="613">
        <v>2080</v>
      </c>
      <c r="L27" s="935"/>
      <c r="M27" s="935"/>
      <c r="N27" s="935"/>
      <c r="O27" s="756"/>
    </row>
    <row r="28" spans="1:15" ht="21" customHeight="1" x14ac:dyDescent="0.25">
      <c r="B28" s="332" t="s">
        <v>299</v>
      </c>
      <c r="C28" s="333" t="s">
        <v>513</v>
      </c>
      <c r="D28" s="622">
        <f>'Eingabe Annahmen'!$E$64*(('Eingabe Annahmen'!F$66/100)+1)^70*'Ausgabe Mengenbilanzen'!D24/B54</f>
        <v>4.7520000000000007E-2</v>
      </c>
      <c r="E28" s="624">
        <f>'Eingabe Annahmen'!$E$64*(('Eingabe Annahmen'!G$66/100)+1)^70*'Ausgabe Mengenbilanzen'!E24/B54</f>
        <v>6.5043000000000017E-2</v>
      </c>
      <c r="F28" s="623"/>
      <c r="G28" s="623"/>
      <c r="H28" s="802">
        <f>'Eingabe Annahmen'!$E$64*(('Eingabe Annahmen'!F$66/100)+1)^70*'Ausgabe Mengenbilanzen'!H24/B54</f>
        <v>6.6000000000000003E-2</v>
      </c>
      <c r="I28" s="624">
        <f>'Eingabe Annahmen'!$E$64*(('Eingabe Annahmen'!G$66/100)+1)^70*'Ausgabe Mengenbilanzen'!I24/B54</f>
        <v>9.0337500000000015E-2</v>
      </c>
      <c r="K28" s="460"/>
      <c r="L28" s="929"/>
      <c r="M28" s="929"/>
      <c r="N28" s="929"/>
    </row>
    <row r="29" spans="1:15" ht="21" customHeight="1" x14ac:dyDescent="0.25">
      <c r="B29" s="332" t="s">
        <v>300</v>
      </c>
      <c r="C29" s="333" t="s">
        <v>513</v>
      </c>
      <c r="D29" s="622">
        <f>'Eingabe Annahmen'!$E$65*(('Eingabe Annahmen'!F67/100)+1)^70*'Ausgabe Mengenbilanzen'!D25/B54</f>
        <v>5.3217000000000014E-2</v>
      </c>
      <c r="E29" s="624">
        <f>'Eingabe Annahmen'!$E$65*(('Eingabe Annahmen'!G67/100)+1)^70*'Ausgabe Mengenbilanzen'!E25/B54</f>
        <v>0.3689712</v>
      </c>
      <c r="F29" s="623"/>
      <c r="G29" s="623"/>
      <c r="H29" s="802">
        <f>'Eingabe Annahmen'!$E$65*(('Eingabe Annahmen'!F67/100)+1)^70*'Ausgabe Mengenbilanzen'!H25/B54</f>
        <v>7.3912500000000006E-2</v>
      </c>
      <c r="I29" s="624">
        <f>'Eingabe Annahmen'!$E$65*(('Eingabe Annahmen'!G67/100)+1)^70*'Ausgabe Mengenbilanzen'!I25/B54</f>
        <v>0.51246000000000003</v>
      </c>
      <c r="K29" s="460"/>
    </row>
    <row r="30" spans="1:15" ht="21" customHeight="1" x14ac:dyDescent="0.25">
      <c r="B30" s="434" t="s">
        <v>249</v>
      </c>
      <c r="C30" s="435" t="s">
        <v>237</v>
      </c>
      <c r="D30" s="625">
        <f>SUM(D28:D29)</f>
        <v>0.10073700000000002</v>
      </c>
      <c r="E30" s="626">
        <f>SUM(E28:E29)</f>
        <v>0.43401420000000002</v>
      </c>
      <c r="F30" s="807"/>
      <c r="G30" s="807"/>
      <c r="H30" s="803">
        <f>SUM(H28:H29)</f>
        <v>0.1399125</v>
      </c>
      <c r="I30" s="626">
        <f>SUM(I28:I29)</f>
        <v>0.6027975000000001</v>
      </c>
      <c r="K30" s="461"/>
    </row>
    <row r="31" spans="1:15" ht="21" customHeight="1" x14ac:dyDescent="0.25">
      <c r="B31" s="332" t="s">
        <v>250</v>
      </c>
      <c r="C31" s="333" t="s">
        <v>251</v>
      </c>
      <c r="D31" s="622">
        <f>'Eingabe Annahmen'!$E$61*(('Eingabe Annahmen'!F$63/100)+1)^70*'Ausgabe Mengenbilanzen'!D41/B54</f>
        <v>3.0549241029999998</v>
      </c>
      <c r="E31" s="624">
        <f>'Eingabe Annahmen'!$E$61*(('Eingabe Annahmen'!G$63/100)+1)^70*'Ausgabe Mengenbilanzen'!E41/B54</f>
        <v>12.852</v>
      </c>
      <c r="F31" s="623"/>
      <c r="G31" s="623"/>
      <c r="H31" s="802">
        <f>'Eingabe Annahmen'!$E$61*(('Eingabe Annahmen'!F$63/100)+1)^70*'Ausgabe Mengenbilanzen'!H41/B54</f>
        <v>3.6839670875000001</v>
      </c>
      <c r="I31" s="624">
        <f>'Eingabe Annahmen'!$E$61*(('Eingabe Annahmen'!G$63/100)+1)^70*'Ausgabe Mengenbilanzen'!I41/B54</f>
        <v>17.775625000000002</v>
      </c>
    </row>
    <row r="32" spans="1:15" ht="21" customHeight="1" x14ac:dyDescent="0.25">
      <c r="B32" s="332" t="s">
        <v>152</v>
      </c>
      <c r="C32" s="333" t="s">
        <v>251</v>
      </c>
      <c r="D32" s="622" t="s">
        <v>251</v>
      </c>
      <c r="E32" s="624">
        <f>'Eingabe Annahmen'!$E$62*(('Eingabe Annahmen'!G63/100)+1)^70*'Ausgabe Mengenbilanzen'!E43/B54</f>
        <v>0.56573999999999991</v>
      </c>
      <c r="F32" s="623"/>
      <c r="G32" s="623"/>
      <c r="H32" s="802" t="s">
        <v>251</v>
      </c>
      <c r="I32" s="624">
        <f>'Eingabe Annahmen'!$E$62*(('Eingabe Annahmen'!G63/100)+1)^70*'Ausgabe Mengenbilanzen'!I43/B54</f>
        <v>0.78574999999999995</v>
      </c>
    </row>
    <row r="33" spans="2:9" ht="21" customHeight="1" thickBot="1" x14ac:dyDescent="0.3">
      <c r="B33" s="334" t="s">
        <v>153</v>
      </c>
      <c r="C33" s="335" t="s">
        <v>237</v>
      </c>
      <c r="D33" s="627">
        <f>SUM(D31:D32)</f>
        <v>3.0549241029999998</v>
      </c>
      <c r="E33" s="628">
        <f>SUM(E31:E32)</f>
        <v>13.41774</v>
      </c>
      <c r="F33" s="807"/>
      <c r="G33" s="807"/>
      <c r="H33" s="804">
        <f>SUM(H31:H32)</f>
        <v>3.6839670875000001</v>
      </c>
      <c r="I33" s="628">
        <f>SUM(I31:I32)</f>
        <v>18.561375000000002</v>
      </c>
    </row>
    <row r="34" spans="2:9" ht="3.95" customHeight="1" thickTop="1" x14ac:dyDescent="0.25"/>
    <row r="35" spans="2:9" hidden="1" x14ac:dyDescent="0.25">
      <c r="B35" s="319" t="s">
        <v>808</v>
      </c>
    </row>
    <row r="40" spans="2:9" x14ac:dyDescent="0.25">
      <c r="D40" s="432"/>
    </row>
    <row r="54" spans="2:3" x14ac:dyDescent="0.2">
      <c r="B54" s="227">
        <v>1000000</v>
      </c>
      <c r="C54" s="23" t="s">
        <v>154</v>
      </c>
    </row>
    <row r="55" spans="2:3" x14ac:dyDescent="0.25">
      <c r="B55" s="433"/>
    </row>
  </sheetData>
  <sheetProtection password="EDC3" sheet="1" objects="1" scenarios="1"/>
  <phoneticPr fontId="26" type="noConversion"/>
  <pageMargins left="0.98425196850393704" right="0.19685039370078741" top="0.78740157480314965" bottom="0.19685039370078741" header="0.49" footer="0.49"/>
  <headerFooter>
    <oddHeader>&amp;CBilanzierung kommunaler Wasserinfrastrukturen - BkW</oddHeader>
    <oddFooter>Seite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U133"/>
  <sheetViews>
    <sheetView zoomScale="125" workbookViewId="0">
      <selection activeCell="B2" sqref="B2"/>
    </sheetView>
  </sheetViews>
  <sheetFormatPr baseColWidth="10" defaultRowHeight="15" x14ac:dyDescent="0.25"/>
  <cols>
    <col min="1" max="1" width="0.42578125" customWidth="1"/>
    <col min="2" max="2" width="31.42578125" style="319" customWidth="1"/>
    <col min="3" max="4" width="14.28515625" customWidth="1"/>
    <col min="6" max="6" width="31.42578125" customWidth="1"/>
    <col min="7" max="11" width="9.28515625" customWidth="1"/>
    <col min="13" max="13" width="19.42578125" customWidth="1"/>
    <col min="16" max="16" width="11.85546875" customWidth="1"/>
    <col min="18" max="18" width="16.7109375" customWidth="1"/>
    <col min="21" max="21" width="11.85546875" customWidth="1"/>
  </cols>
  <sheetData>
    <row r="1" spans="1:19" ht="3.95" customHeight="1" x14ac:dyDescent="0.25"/>
    <row r="2" spans="1:19" x14ac:dyDescent="0.25">
      <c r="B2" s="320" t="s">
        <v>600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25">
      <c r="A3" s="539"/>
      <c r="B3" s="692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</row>
    <row r="4" spans="1:19" ht="3.95" customHeight="1" thickBot="1" x14ac:dyDescent="0.3">
      <c r="A4" s="539"/>
      <c r="B4" s="692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</row>
    <row r="5" spans="1:19" ht="42" customHeight="1" thickTop="1" x14ac:dyDescent="0.25">
      <c r="A5" s="539"/>
      <c r="B5" s="693" t="s">
        <v>698</v>
      </c>
      <c r="C5" s="694" t="s">
        <v>801</v>
      </c>
      <c r="D5" s="695" t="s">
        <v>802</v>
      </c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</row>
    <row r="6" spans="1:19" ht="21" customHeight="1" x14ac:dyDescent="0.25">
      <c r="A6" s="539"/>
      <c r="B6" s="696" t="s">
        <v>259</v>
      </c>
      <c r="C6" s="697" t="s">
        <v>700</v>
      </c>
      <c r="D6" s="698" t="s">
        <v>799</v>
      </c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</row>
    <row r="7" spans="1:19" ht="20.100000000000001" customHeight="1" x14ac:dyDescent="0.25">
      <c r="A7" s="539"/>
      <c r="B7" s="677" t="s">
        <v>803</v>
      </c>
      <c r="C7" s="699" t="s">
        <v>701</v>
      </c>
      <c r="D7" s="700" t="s">
        <v>700</v>
      </c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</row>
    <row r="8" spans="1:19" ht="21" customHeight="1" x14ac:dyDescent="0.25">
      <c r="A8" s="539"/>
      <c r="B8" s="696" t="s">
        <v>509</v>
      </c>
      <c r="C8" s="701" t="s">
        <v>702</v>
      </c>
      <c r="D8" s="702" t="s">
        <v>799</v>
      </c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</row>
    <row r="9" spans="1:19" ht="21" customHeight="1" x14ac:dyDescent="0.25">
      <c r="A9" s="539"/>
      <c r="B9" s="677" t="s">
        <v>510</v>
      </c>
      <c r="C9" s="699" t="s">
        <v>701</v>
      </c>
      <c r="D9" s="700" t="s">
        <v>799</v>
      </c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39"/>
      <c r="R9" s="539"/>
      <c r="S9" s="539"/>
    </row>
    <row r="10" spans="1:19" ht="21" customHeight="1" x14ac:dyDescent="0.25">
      <c r="A10" s="539"/>
      <c r="B10" s="677" t="s">
        <v>720</v>
      </c>
      <c r="C10" s="699" t="s">
        <v>702</v>
      </c>
      <c r="D10" s="700" t="s">
        <v>799</v>
      </c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</row>
    <row r="11" spans="1:19" ht="21" customHeight="1" x14ac:dyDescent="0.25">
      <c r="A11" s="539"/>
      <c r="B11" s="677" t="s">
        <v>238</v>
      </c>
      <c r="C11" s="699" t="s">
        <v>702</v>
      </c>
      <c r="D11" s="700" t="s">
        <v>799</v>
      </c>
      <c r="E11" s="539"/>
      <c r="F11" s="539"/>
      <c r="G11" s="539"/>
      <c r="H11" s="539"/>
      <c r="I11" s="539"/>
      <c r="J11" s="539"/>
      <c r="K11" s="539"/>
      <c r="L11" s="539"/>
      <c r="M11" s="539"/>
      <c r="N11" s="539"/>
      <c r="O11" s="539"/>
      <c r="P11" s="539"/>
      <c r="Q11" s="539"/>
      <c r="R11" s="539"/>
      <c r="S11" s="539"/>
    </row>
    <row r="12" spans="1:19" ht="21" customHeight="1" x14ac:dyDescent="0.25">
      <c r="A12" s="539"/>
      <c r="B12" s="677" t="s">
        <v>247</v>
      </c>
      <c r="C12" s="699" t="s">
        <v>701</v>
      </c>
      <c r="D12" s="700" t="s">
        <v>798</v>
      </c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</row>
    <row r="13" spans="1:19" ht="21" customHeight="1" thickBot="1" x14ac:dyDescent="0.3">
      <c r="A13" s="539"/>
      <c r="B13" s="703" t="s">
        <v>697</v>
      </c>
      <c r="C13" s="704" t="s">
        <v>658</v>
      </c>
      <c r="D13" s="705" t="s">
        <v>800</v>
      </c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</row>
    <row r="14" spans="1:19" ht="45.95" customHeight="1" thickTop="1" x14ac:dyDescent="0.25">
      <c r="A14" s="539"/>
      <c r="B14" s="1047" t="s">
        <v>657</v>
      </c>
      <c r="C14" s="1047"/>
      <c r="D14" s="1047"/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</row>
    <row r="15" spans="1:19" ht="3" customHeight="1" x14ac:dyDescent="0.25">
      <c r="A15" s="539"/>
      <c r="B15" s="706"/>
      <c r="C15" s="706"/>
      <c r="D15" s="706"/>
      <c r="E15" s="539"/>
      <c r="F15" s="539"/>
      <c r="G15" s="539"/>
      <c r="H15" s="539"/>
      <c r="I15" s="539"/>
      <c r="J15" s="539"/>
      <c r="K15" s="539"/>
      <c r="L15" s="539"/>
      <c r="M15" s="539"/>
      <c r="N15" s="539"/>
      <c r="O15" s="539"/>
      <c r="P15" s="539"/>
      <c r="Q15" s="539"/>
      <c r="R15" s="539"/>
      <c r="S15" s="539"/>
    </row>
    <row r="16" spans="1:19" ht="14.1" customHeight="1" x14ac:dyDescent="0.25">
      <c r="A16" s="539"/>
      <c r="B16" s="706"/>
      <c r="C16" s="706"/>
      <c r="D16" s="706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</row>
    <row r="17" spans="1:21" ht="14.1" customHeight="1" thickBot="1" x14ac:dyDescent="0.3">
      <c r="A17" s="539"/>
      <c r="B17" s="706"/>
      <c r="C17" s="706"/>
      <c r="D17" s="706"/>
      <c r="E17" s="539"/>
      <c r="F17" s="539" t="s">
        <v>16</v>
      </c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</row>
    <row r="18" spans="1:21" ht="14.1" customHeight="1" thickTop="1" x14ac:dyDescent="0.25">
      <c r="A18" s="539"/>
      <c r="B18" s="707"/>
      <c r="C18" s="707"/>
      <c r="D18" s="707"/>
      <c r="E18" s="16"/>
      <c r="F18" s="16"/>
      <c r="G18" s="16"/>
      <c r="H18" s="16"/>
      <c r="I18" s="16"/>
      <c r="J18" s="16"/>
      <c r="K18" s="16"/>
      <c r="L18" s="16"/>
      <c r="M18" s="722" t="s">
        <v>86</v>
      </c>
      <c r="N18" s="723" t="s">
        <v>41</v>
      </c>
      <c r="O18" s="534" t="s">
        <v>648</v>
      </c>
      <c r="P18" s="535" t="s">
        <v>649</v>
      </c>
      <c r="R18" s="722" t="s">
        <v>34</v>
      </c>
      <c r="S18" s="723" t="s">
        <v>41</v>
      </c>
      <c r="T18" s="534" t="s">
        <v>648</v>
      </c>
      <c r="U18" s="535" t="s">
        <v>649</v>
      </c>
    </row>
    <row r="19" spans="1:21" ht="14.1" customHeight="1" x14ac:dyDescent="0.25">
      <c r="A19" s="539"/>
      <c r="B19" s="707"/>
      <c r="C19" s="707"/>
      <c r="D19" s="707"/>
      <c r="E19" s="16"/>
      <c r="F19" s="16"/>
      <c r="G19" s="16"/>
      <c r="H19" s="16"/>
      <c r="I19" s="16"/>
      <c r="J19" s="16"/>
      <c r="K19" s="16"/>
      <c r="L19" s="16"/>
      <c r="M19" s="721" t="s">
        <v>15</v>
      </c>
      <c r="N19" s="728">
        <v>150.892421875</v>
      </c>
      <c r="O19" s="729">
        <v>140.34002879824999</v>
      </c>
      <c r="P19" s="730">
        <v>140.91660111249999</v>
      </c>
      <c r="R19" s="721" t="s">
        <v>15</v>
      </c>
      <c r="S19" s="731">
        <v>0</v>
      </c>
      <c r="T19" s="732">
        <v>0</v>
      </c>
      <c r="U19" s="733">
        <v>0</v>
      </c>
    </row>
    <row r="20" spans="1:21" x14ac:dyDescent="0.25">
      <c r="F20" s="42" t="s">
        <v>792</v>
      </c>
      <c r="G20" s="13"/>
      <c r="H20" s="13"/>
      <c r="I20" s="13"/>
      <c r="J20" s="13"/>
      <c r="K20" s="13"/>
      <c r="M20" s="721" t="s">
        <v>831</v>
      </c>
      <c r="N20" s="725">
        <v>150.892421875</v>
      </c>
      <c r="O20" s="726">
        <v>148.52286121699998</v>
      </c>
      <c r="P20" s="727">
        <v>176.59677611250001</v>
      </c>
      <c r="R20" s="721" t="s">
        <v>742</v>
      </c>
      <c r="S20" s="734">
        <f>N20/$N19*100-100</f>
        <v>0</v>
      </c>
      <c r="T20" s="735">
        <f>O20/$O19*100-100</f>
        <v>5.8307187826742251</v>
      </c>
      <c r="U20" s="736">
        <f>P20/$P19*100-100</f>
        <v>25.320065001791335</v>
      </c>
    </row>
    <row r="21" spans="1:21" x14ac:dyDescent="0.25">
      <c r="F21" s="690"/>
      <c r="G21" s="16"/>
      <c r="H21" s="16"/>
      <c r="I21" s="16"/>
      <c r="J21" s="16"/>
      <c r="K21" s="16"/>
      <c r="M21" s="721" t="s">
        <v>832</v>
      </c>
      <c r="N21" s="734">
        <v>150.892421875</v>
      </c>
      <c r="O21" s="735">
        <v>132.15719637949999</v>
      </c>
      <c r="P21" s="736">
        <v>105.2364261125</v>
      </c>
      <c r="R21" s="721" t="s">
        <v>743</v>
      </c>
      <c r="S21" s="734">
        <f>N21/$N20*100-100</f>
        <v>0</v>
      </c>
      <c r="T21" s="735">
        <f>O21/$O19*100-100</f>
        <v>-5.8307187826742393</v>
      </c>
      <c r="U21" s="736">
        <f>P21/$P19*100-100</f>
        <v>-25.32006500179132</v>
      </c>
    </row>
    <row r="22" spans="1:21" ht="15.75" thickBot="1" x14ac:dyDescent="0.3">
      <c r="F22" s="691" t="s">
        <v>794</v>
      </c>
      <c r="M22" s="740" t="s">
        <v>40</v>
      </c>
      <c r="N22" s="741">
        <v>150.892421875</v>
      </c>
      <c r="O22" s="742">
        <v>131.17660608491846</v>
      </c>
      <c r="P22" s="743">
        <v>100.66930876345765</v>
      </c>
      <c r="R22" s="740" t="s">
        <v>40</v>
      </c>
      <c r="S22" s="737">
        <f>N22/$N21*100-100</f>
        <v>0</v>
      </c>
      <c r="T22" s="738">
        <f>O22/$O19*100-100</f>
        <v>-6.5294433753499419</v>
      </c>
      <c r="U22" s="739">
        <f>P22/$P19*100-100</f>
        <v>-28.561072316036871</v>
      </c>
    </row>
    <row r="23" spans="1:21" ht="45.75" thickTop="1" x14ac:dyDescent="0.25">
      <c r="F23" s="662" t="s">
        <v>659</v>
      </c>
      <c r="G23" s="663" t="s">
        <v>660</v>
      </c>
      <c r="H23" s="664" t="s">
        <v>661</v>
      </c>
      <c r="I23" s="665" t="s">
        <v>662</v>
      </c>
      <c r="J23" s="664" t="s">
        <v>663</v>
      </c>
      <c r="K23" s="666" t="s">
        <v>788</v>
      </c>
    </row>
    <row r="24" spans="1:21" x14ac:dyDescent="0.25">
      <c r="F24" s="667" t="s">
        <v>642</v>
      </c>
      <c r="G24" s="668">
        <v>2010</v>
      </c>
      <c r="H24" s="669">
        <v>2080</v>
      </c>
      <c r="I24" s="670">
        <v>2080</v>
      </c>
      <c r="J24" s="669">
        <v>2080</v>
      </c>
      <c r="K24" s="671">
        <v>2080</v>
      </c>
    </row>
    <row r="25" spans="1:21" x14ac:dyDescent="0.25">
      <c r="F25" s="672" t="s">
        <v>259</v>
      </c>
      <c r="G25" s="673">
        <v>50.25</v>
      </c>
      <c r="H25" s="674">
        <v>39.225000000000001</v>
      </c>
      <c r="I25" s="675">
        <v>27.57</v>
      </c>
      <c r="J25" s="674">
        <v>45.55</v>
      </c>
      <c r="K25" s="676">
        <v>36.85</v>
      </c>
    </row>
    <row r="26" spans="1:21" ht="28.5" x14ac:dyDescent="0.25">
      <c r="F26" s="677" t="s">
        <v>699</v>
      </c>
      <c r="G26" s="673" t="s">
        <v>395</v>
      </c>
      <c r="H26" s="678" t="s">
        <v>395</v>
      </c>
      <c r="I26" s="423">
        <v>5.4</v>
      </c>
      <c r="J26" s="424" t="s">
        <v>395</v>
      </c>
      <c r="K26" s="425">
        <v>7.46875</v>
      </c>
    </row>
    <row r="27" spans="1:21" x14ac:dyDescent="0.25">
      <c r="F27" s="677" t="s">
        <v>789</v>
      </c>
      <c r="G27" s="673">
        <v>23.927090624999998</v>
      </c>
      <c r="H27" s="678">
        <v>19.528701771249999</v>
      </c>
      <c r="I27" s="423">
        <v>35.366472187499994</v>
      </c>
      <c r="J27" s="678">
        <v>19.092170546875</v>
      </c>
      <c r="K27" s="425">
        <v>33.881472187499995</v>
      </c>
    </row>
    <row r="28" spans="1:21" x14ac:dyDescent="0.25">
      <c r="F28" s="677" t="s">
        <v>348</v>
      </c>
      <c r="G28" s="673" t="s">
        <v>395</v>
      </c>
      <c r="H28" s="678" t="s">
        <v>395</v>
      </c>
      <c r="I28" s="423">
        <v>31.719533125000002</v>
      </c>
      <c r="J28" s="678" t="s">
        <v>395</v>
      </c>
      <c r="K28" s="425">
        <v>40.583271374999995</v>
      </c>
    </row>
    <row r="29" spans="1:21" x14ac:dyDescent="0.25">
      <c r="F29" s="677" t="s">
        <v>613</v>
      </c>
      <c r="G29" s="678">
        <v>76.715331249999991</v>
      </c>
      <c r="H29" s="678">
        <v>79.730302026999993</v>
      </c>
      <c r="I29" s="424" t="s">
        <v>395</v>
      </c>
      <c r="J29" s="678">
        <v>88.582813896874981</v>
      </c>
      <c r="K29" s="425" t="s">
        <v>395</v>
      </c>
    </row>
    <row r="30" spans="1:21" x14ac:dyDescent="0.25">
      <c r="F30" s="677" t="s">
        <v>489</v>
      </c>
      <c r="G30" s="673" t="s">
        <v>395</v>
      </c>
      <c r="H30" s="678">
        <v>1.856025</v>
      </c>
      <c r="I30" s="424" t="s">
        <v>395</v>
      </c>
      <c r="J30" s="678">
        <v>2.5778124999999998</v>
      </c>
      <c r="K30" s="425" t="s">
        <v>395</v>
      </c>
    </row>
    <row r="31" spans="1:21" x14ac:dyDescent="0.25">
      <c r="F31" s="677" t="s">
        <v>790</v>
      </c>
      <c r="G31" s="679" t="s">
        <v>395</v>
      </c>
      <c r="H31" s="680" t="s">
        <v>395</v>
      </c>
      <c r="I31" s="681">
        <v>35.4605958</v>
      </c>
      <c r="J31" s="680" t="s">
        <v>395</v>
      </c>
      <c r="K31" s="425">
        <v>50.5008275</v>
      </c>
    </row>
    <row r="32" spans="1:21" ht="15.75" thickBot="1" x14ac:dyDescent="0.3">
      <c r="F32" s="682" t="s">
        <v>791</v>
      </c>
      <c r="G32" s="683">
        <v>150.892421875</v>
      </c>
      <c r="H32" s="686">
        <v>140.34002879824999</v>
      </c>
      <c r="I32" s="687">
        <v>135.51660111249998</v>
      </c>
      <c r="J32" s="684">
        <v>155.80279694374997</v>
      </c>
      <c r="K32" s="685">
        <v>169.2843210625</v>
      </c>
    </row>
    <row r="33" spans="2:11" ht="15.75" thickTop="1" x14ac:dyDescent="0.25">
      <c r="I33" s="688">
        <f>I32/H32*100-100</f>
        <v>-3.436957885112065</v>
      </c>
      <c r="J33" s="689" t="s">
        <v>819</v>
      </c>
    </row>
    <row r="35" spans="2:11" ht="15.75" thickBot="1" x14ac:dyDescent="0.3">
      <c r="B35" s="260"/>
      <c r="F35" s="691" t="s">
        <v>793</v>
      </c>
    </row>
    <row r="36" spans="2:11" ht="45.75" thickTop="1" x14ac:dyDescent="0.25">
      <c r="B36" s="661"/>
      <c r="F36" s="662" t="s">
        <v>659</v>
      </c>
      <c r="G36" s="663" t="s">
        <v>660</v>
      </c>
      <c r="H36" s="664" t="s">
        <v>661</v>
      </c>
      <c r="I36" s="665" t="s">
        <v>662</v>
      </c>
      <c r="J36" s="664" t="s">
        <v>663</v>
      </c>
      <c r="K36" s="666" t="s">
        <v>788</v>
      </c>
    </row>
    <row r="37" spans="2:11" x14ac:dyDescent="0.25">
      <c r="F37" s="667" t="s">
        <v>642</v>
      </c>
      <c r="G37" s="668">
        <v>2010</v>
      </c>
      <c r="H37" s="669">
        <v>2080</v>
      </c>
      <c r="I37" s="670">
        <v>2080</v>
      </c>
      <c r="J37" s="669">
        <v>2080</v>
      </c>
      <c r="K37" s="671">
        <v>2080</v>
      </c>
    </row>
    <row r="38" spans="2:11" x14ac:dyDescent="0.25">
      <c r="F38" s="672" t="s">
        <v>259</v>
      </c>
      <c r="G38" s="673">
        <v>50.25</v>
      </c>
      <c r="H38" s="674">
        <v>39.225000000000001</v>
      </c>
      <c r="I38" s="675">
        <v>27.57</v>
      </c>
      <c r="J38" s="674">
        <v>45.55</v>
      </c>
      <c r="K38" s="676">
        <v>36.85</v>
      </c>
    </row>
    <row r="39" spans="2:11" ht="28.5" x14ac:dyDescent="0.25">
      <c r="F39" s="677" t="s">
        <v>699</v>
      </c>
      <c r="G39" s="673" t="s">
        <v>395</v>
      </c>
      <c r="H39" s="678" t="s">
        <v>395</v>
      </c>
      <c r="I39" s="423">
        <v>16.200000000000003</v>
      </c>
      <c r="J39" s="424" t="s">
        <v>395</v>
      </c>
      <c r="K39" s="425">
        <v>22.40625</v>
      </c>
    </row>
    <row r="40" spans="2:11" x14ac:dyDescent="0.25">
      <c r="F40" s="677" t="s">
        <v>789</v>
      </c>
      <c r="G40" s="673">
        <v>23.927090624999998</v>
      </c>
      <c r="H40" s="678">
        <v>19.528701771249999</v>
      </c>
      <c r="I40" s="423">
        <v>35.366472187499994</v>
      </c>
      <c r="J40" s="678">
        <v>19.092170546875</v>
      </c>
      <c r="K40" s="425">
        <v>33.881472187499995</v>
      </c>
    </row>
    <row r="41" spans="2:11" x14ac:dyDescent="0.25">
      <c r="F41" s="677" t="s">
        <v>348</v>
      </c>
      <c r="G41" s="673" t="s">
        <v>395</v>
      </c>
      <c r="H41" s="678" t="s">
        <v>395</v>
      </c>
      <c r="I41" s="423">
        <v>31.719533125000002</v>
      </c>
      <c r="J41" s="678" t="s">
        <v>395</v>
      </c>
      <c r="K41" s="425">
        <v>40.583271374999995</v>
      </c>
    </row>
    <row r="42" spans="2:11" x14ac:dyDescent="0.25">
      <c r="F42" s="677" t="s">
        <v>613</v>
      </c>
      <c r="G42" s="678">
        <v>76.715331249999991</v>
      </c>
      <c r="H42" s="678">
        <v>79.730302026999993</v>
      </c>
      <c r="I42" s="424" t="s">
        <v>395</v>
      </c>
      <c r="J42" s="678">
        <v>88.582813896874981</v>
      </c>
      <c r="K42" s="425" t="s">
        <v>395</v>
      </c>
    </row>
    <row r="43" spans="2:11" x14ac:dyDescent="0.25">
      <c r="F43" s="677" t="s">
        <v>489</v>
      </c>
      <c r="G43" s="673" t="s">
        <v>395</v>
      </c>
      <c r="H43" s="678">
        <v>1.856025</v>
      </c>
      <c r="I43" s="424" t="s">
        <v>395</v>
      </c>
      <c r="J43" s="678">
        <v>2.5778124999999998</v>
      </c>
      <c r="K43" s="425" t="s">
        <v>395</v>
      </c>
    </row>
    <row r="44" spans="2:11" x14ac:dyDescent="0.25">
      <c r="F44" s="677" t="s">
        <v>790</v>
      </c>
      <c r="G44" s="679" t="s">
        <v>395</v>
      </c>
      <c r="H44" s="680" t="s">
        <v>395</v>
      </c>
      <c r="I44" s="681">
        <v>35.4605958</v>
      </c>
      <c r="J44" s="680" t="s">
        <v>395</v>
      </c>
      <c r="K44" s="425">
        <v>50.5008275</v>
      </c>
    </row>
    <row r="45" spans="2:11" ht="15.75" thickBot="1" x14ac:dyDescent="0.3">
      <c r="F45" s="682" t="s">
        <v>791</v>
      </c>
      <c r="G45" s="683">
        <v>150.892421875</v>
      </c>
      <c r="H45" s="686">
        <v>140.34002879824999</v>
      </c>
      <c r="I45" s="687">
        <v>146.3166011125</v>
      </c>
      <c r="J45" s="684">
        <v>155.80279694374997</v>
      </c>
      <c r="K45" s="685">
        <v>184.2218210625</v>
      </c>
    </row>
    <row r="46" spans="2:11" ht="15.75" thickTop="1" x14ac:dyDescent="0.25">
      <c r="I46" s="688">
        <f>I45/H45*100-100</f>
        <v>4.2586369444471188</v>
      </c>
      <c r="J46" s="689" t="s">
        <v>819</v>
      </c>
    </row>
    <row r="49" spans="6:11" x14ac:dyDescent="0.25">
      <c r="F49" s="42" t="s">
        <v>795</v>
      </c>
      <c r="G49" s="13"/>
      <c r="H49" s="13"/>
      <c r="I49" s="13"/>
      <c r="J49" s="13"/>
      <c r="K49" s="13"/>
    </row>
    <row r="50" spans="6:11" x14ac:dyDescent="0.25">
      <c r="F50" s="690"/>
      <c r="G50" s="16"/>
      <c r="H50" s="16"/>
      <c r="I50" s="16"/>
      <c r="J50" s="16"/>
      <c r="K50" s="16"/>
    </row>
    <row r="51" spans="6:11" ht="15.75" thickBot="1" x14ac:dyDescent="0.3">
      <c r="F51" s="691" t="s">
        <v>794</v>
      </c>
    </row>
    <row r="52" spans="6:11" ht="45.75" thickTop="1" x14ac:dyDescent="0.25">
      <c r="F52" s="662" t="s">
        <v>659</v>
      </c>
      <c r="G52" s="663" t="s">
        <v>660</v>
      </c>
      <c r="H52" s="664" t="s">
        <v>661</v>
      </c>
      <c r="I52" s="665" t="s">
        <v>662</v>
      </c>
      <c r="J52" s="664" t="s">
        <v>663</v>
      </c>
      <c r="K52" s="666" t="s">
        <v>788</v>
      </c>
    </row>
    <row r="53" spans="6:11" x14ac:dyDescent="0.25">
      <c r="F53" s="667" t="s">
        <v>642</v>
      </c>
      <c r="G53" s="668">
        <v>2010</v>
      </c>
      <c r="H53" s="669">
        <v>2080</v>
      </c>
      <c r="I53" s="670">
        <v>2080</v>
      </c>
      <c r="J53" s="669">
        <v>2080</v>
      </c>
      <c r="K53" s="671">
        <v>2080</v>
      </c>
    </row>
    <row r="54" spans="6:11" x14ac:dyDescent="0.25">
      <c r="F54" s="672" t="s">
        <v>259</v>
      </c>
      <c r="G54" s="673">
        <v>50.25</v>
      </c>
      <c r="H54" s="674">
        <v>39.225000000000001</v>
      </c>
      <c r="I54" s="675">
        <v>27.57</v>
      </c>
      <c r="J54" s="674">
        <v>45.55</v>
      </c>
      <c r="K54" s="676">
        <v>36.85</v>
      </c>
    </row>
    <row r="55" spans="6:11" ht="28.5" x14ac:dyDescent="0.25">
      <c r="F55" s="677" t="s">
        <v>699</v>
      </c>
      <c r="G55" s="673" t="s">
        <v>395</v>
      </c>
      <c r="H55" s="678" t="s">
        <v>395</v>
      </c>
      <c r="I55" s="423">
        <v>10.8</v>
      </c>
      <c r="J55" s="424" t="s">
        <v>395</v>
      </c>
      <c r="K55" s="425">
        <v>14.9375</v>
      </c>
    </row>
    <row r="56" spans="6:11" x14ac:dyDescent="0.25">
      <c r="F56" s="677" t="s">
        <v>789</v>
      </c>
      <c r="G56" s="673">
        <v>23.927090624999998</v>
      </c>
      <c r="H56" s="678">
        <v>19.528701771249999</v>
      </c>
      <c r="I56" s="423">
        <v>35.366472187499994</v>
      </c>
      <c r="J56" s="678">
        <v>19.092170546875</v>
      </c>
      <c r="K56" s="425">
        <v>33.881472187499995</v>
      </c>
    </row>
    <row r="57" spans="6:11" x14ac:dyDescent="0.25">
      <c r="F57" s="677" t="s">
        <v>348</v>
      </c>
      <c r="G57" s="673" t="s">
        <v>395</v>
      </c>
      <c r="H57" s="678" t="s">
        <v>395</v>
      </c>
      <c r="I57" s="423">
        <v>23.719533125000002</v>
      </c>
      <c r="J57" s="678" t="s">
        <v>395</v>
      </c>
      <c r="K57" s="425">
        <v>29.997333874999999</v>
      </c>
    </row>
    <row r="58" spans="6:11" x14ac:dyDescent="0.25">
      <c r="F58" s="677" t="s">
        <v>613</v>
      </c>
      <c r="G58" s="678">
        <v>76.715331249999991</v>
      </c>
      <c r="H58" s="678">
        <v>79.730302026999993</v>
      </c>
      <c r="I58" s="424" t="s">
        <v>395</v>
      </c>
      <c r="J58" s="678">
        <v>88.582813896874981</v>
      </c>
      <c r="K58" s="425" t="s">
        <v>395</v>
      </c>
    </row>
    <row r="59" spans="6:11" x14ac:dyDescent="0.25">
      <c r="F59" s="677" t="s">
        <v>489</v>
      </c>
      <c r="G59" s="673" t="s">
        <v>395</v>
      </c>
      <c r="H59" s="678">
        <v>1.856025</v>
      </c>
      <c r="I59" s="424" t="s">
        <v>395</v>
      </c>
      <c r="J59" s="678">
        <v>2.5778124999999998</v>
      </c>
      <c r="K59" s="425" t="s">
        <v>395</v>
      </c>
    </row>
    <row r="60" spans="6:11" x14ac:dyDescent="0.25">
      <c r="F60" s="677" t="s">
        <v>790</v>
      </c>
      <c r="G60" s="679" t="s">
        <v>395</v>
      </c>
      <c r="H60" s="680" t="s">
        <v>395</v>
      </c>
      <c r="I60" s="681">
        <v>35.4605958</v>
      </c>
      <c r="J60" s="680" t="s">
        <v>395</v>
      </c>
      <c r="K60" s="425">
        <v>50.5008275</v>
      </c>
    </row>
    <row r="61" spans="6:11" ht="15.75" thickBot="1" x14ac:dyDescent="0.3">
      <c r="F61" s="682" t="s">
        <v>791</v>
      </c>
      <c r="G61" s="683">
        <v>150.892421875</v>
      </c>
      <c r="H61" s="686">
        <v>140.34002879824999</v>
      </c>
      <c r="I61" s="687">
        <v>132.91660111249999</v>
      </c>
      <c r="J61" s="684">
        <v>155.80279694374997</v>
      </c>
      <c r="K61" s="685">
        <v>166.1671335625</v>
      </c>
    </row>
    <row r="62" spans="6:11" ht="15.75" thickTop="1" x14ac:dyDescent="0.25">
      <c r="I62" s="688">
        <f>I61/H61*100-100</f>
        <v>-5.2896010848207595</v>
      </c>
      <c r="J62" s="689" t="s">
        <v>819</v>
      </c>
    </row>
    <row r="64" spans="6:11" ht="15.75" thickBot="1" x14ac:dyDescent="0.3">
      <c r="F64" s="691" t="s">
        <v>793</v>
      </c>
    </row>
    <row r="65" spans="6:11" ht="45.75" thickTop="1" x14ac:dyDescent="0.25">
      <c r="F65" s="662" t="s">
        <v>659</v>
      </c>
      <c r="G65" s="663" t="s">
        <v>660</v>
      </c>
      <c r="H65" s="664" t="s">
        <v>661</v>
      </c>
      <c r="I65" s="665" t="s">
        <v>662</v>
      </c>
      <c r="J65" s="664" t="s">
        <v>663</v>
      </c>
      <c r="K65" s="666" t="s">
        <v>788</v>
      </c>
    </row>
    <row r="66" spans="6:11" x14ac:dyDescent="0.25">
      <c r="F66" s="667" t="s">
        <v>642</v>
      </c>
      <c r="G66" s="668">
        <v>2010</v>
      </c>
      <c r="H66" s="669">
        <v>2080</v>
      </c>
      <c r="I66" s="670">
        <v>2080</v>
      </c>
      <c r="J66" s="669">
        <v>2080</v>
      </c>
      <c r="K66" s="671">
        <v>2080</v>
      </c>
    </row>
    <row r="67" spans="6:11" x14ac:dyDescent="0.25">
      <c r="F67" s="672" t="s">
        <v>259</v>
      </c>
      <c r="G67" s="673">
        <v>50.25</v>
      </c>
      <c r="H67" s="674">
        <v>39.225000000000001</v>
      </c>
      <c r="I67" s="675">
        <v>27.57</v>
      </c>
      <c r="J67" s="674">
        <v>45.55</v>
      </c>
      <c r="K67" s="676">
        <v>36.85</v>
      </c>
    </row>
    <row r="68" spans="6:11" ht="28.5" x14ac:dyDescent="0.25">
      <c r="F68" s="677" t="s">
        <v>699</v>
      </c>
      <c r="G68" s="673" t="s">
        <v>395</v>
      </c>
      <c r="H68" s="678" t="s">
        <v>395</v>
      </c>
      <c r="I68" s="423">
        <v>10.8</v>
      </c>
      <c r="J68" s="424" t="s">
        <v>395</v>
      </c>
      <c r="K68" s="425">
        <v>14.9375</v>
      </c>
    </row>
    <row r="69" spans="6:11" x14ac:dyDescent="0.25">
      <c r="F69" s="677" t="s">
        <v>789</v>
      </c>
      <c r="G69" s="673">
        <v>23.927090624999998</v>
      </c>
      <c r="H69" s="678">
        <v>19.528701771249999</v>
      </c>
      <c r="I69" s="423">
        <v>35.366472187499994</v>
      </c>
      <c r="J69" s="678">
        <v>19.092170546875</v>
      </c>
      <c r="K69" s="425">
        <v>33.881472187499995</v>
      </c>
    </row>
    <row r="70" spans="6:11" x14ac:dyDescent="0.25">
      <c r="F70" s="677" t="s">
        <v>348</v>
      </c>
      <c r="G70" s="673" t="s">
        <v>395</v>
      </c>
      <c r="H70" s="678" t="s">
        <v>395</v>
      </c>
      <c r="I70" s="423">
        <v>39.719533124999998</v>
      </c>
      <c r="J70" s="678" t="s">
        <v>395</v>
      </c>
      <c r="K70" s="425">
        <v>51.169208874999995</v>
      </c>
    </row>
    <row r="71" spans="6:11" x14ac:dyDescent="0.25">
      <c r="F71" s="677" t="s">
        <v>613</v>
      </c>
      <c r="G71" s="678">
        <v>76.715331249999991</v>
      </c>
      <c r="H71" s="678">
        <v>79.730302026999993</v>
      </c>
      <c r="I71" s="424" t="s">
        <v>395</v>
      </c>
      <c r="J71" s="678">
        <v>88.582813896874981</v>
      </c>
      <c r="K71" s="425" t="s">
        <v>395</v>
      </c>
    </row>
    <row r="72" spans="6:11" x14ac:dyDescent="0.25">
      <c r="F72" s="677" t="s">
        <v>489</v>
      </c>
      <c r="G72" s="673" t="s">
        <v>395</v>
      </c>
      <c r="H72" s="678">
        <v>1.856025</v>
      </c>
      <c r="I72" s="424" t="s">
        <v>395</v>
      </c>
      <c r="J72" s="678">
        <v>2.5778124999999998</v>
      </c>
      <c r="K72" s="425" t="s">
        <v>395</v>
      </c>
    </row>
    <row r="73" spans="6:11" x14ac:dyDescent="0.25">
      <c r="F73" s="677" t="s">
        <v>790</v>
      </c>
      <c r="G73" s="679" t="s">
        <v>395</v>
      </c>
      <c r="H73" s="680" t="s">
        <v>395</v>
      </c>
      <c r="I73" s="681">
        <v>35.4605958</v>
      </c>
      <c r="J73" s="680" t="s">
        <v>395</v>
      </c>
      <c r="K73" s="425">
        <v>50.5008275</v>
      </c>
    </row>
    <row r="74" spans="6:11" ht="15.75" thickBot="1" x14ac:dyDescent="0.3">
      <c r="F74" s="682" t="s">
        <v>791</v>
      </c>
      <c r="G74" s="683">
        <v>150.892421875</v>
      </c>
      <c r="H74" s="686">
        <v>140.34002879824999</v>
      </c>
      <c r="I74" s="687">
        <v>148.91660111249999</v>
      </c>
      <c r="J74" s="684">
        <v>155.80279694374997</v>
      </c>
      <c r="K74" s="685">
        <v>187.3390085625</v>
      </c>
    </row>
    <row r="75" spans="6:11" ht="15.75" thickTop="1" x14ac:dyDescent="0.25">
      <c r="I75" s="688">
        <f>I74/H74*100-100</f>
        <v>6.1112801441558133</v>
      </c>
      <c r="J75" s="689" t="s">
        <v>819</v>
      </c>
    </row>
    <row r="78" spans="6:11" x14ac:dyDescent="0.25">
      <c r="F78" s="42" t="s">
        <v>796</v>
      </c>
      <c r="G78" s="13"/>
      <c r="H78" s="13"/>
      <c r="I78" s="13"/>
      <c r="J78" s="13"/>
      <c r="K78" s="13"/>
    </row>
    <row r="79" spans="6:11" x14ac:dyDescent="0.25">
      <c r="F79" s="690"/>
      <c r="G79" s="16"/>
      <c r="H79" s="16"/>
      <c r="I79" s="16"/>
      <c r="J79" s="16"/>
      <c r="K79" s="16"/>
    </row>
    <row r="80" spans="6:11" ht="15.75" thickBot="1" x14ac:dyDescent="0.3">
      <c r="F80" s="691" t="s">
        <v>794</v>
      </c>
    </row>
    <row r="81" spans="6:11" ht="45.75" thickTop="1" x14ac:dyDescent="0.25">
      <c r="F81" s="662" t="s">
        <v>659</v>
      </c>
      <c r="G81" s="663" t="s">
        <v>660</v>
      </c>
      <c r="H81" s="664" t="s">
        <v>661</v>
      </c>
      <c r="I81" s="665" t="s">
        <v>662</v>
      </c>
      <c r="J81" s="664" t="s">
        <v>663</v>
      </c>
      <c r="K81" s="666" t="s">
        <v>788</v>
      </c>
    </row>
    <row r="82" spans="6:11" x14ac:dyDescent="0.25">
      <c r="F82" s="667" t="s">
        <v>642</v>
      </c>
      <c r="G82" s="668">
        <v>2010</v>
      </c>
      <c r="H82" s="669">
        <v>2080</v>
      </c>
      <c r="I82" s="670">
        <v>2080</v>
      </c>
      <c r="J82" s="669">
        <v>2080</v>
      </c>
      <c r="K82" s="671">
        <v>2080</v>
      </c>
    </row>
    <row r="83" spans="6:11" x14ac:dyDescent="0.25">
      <c r="F83" s="672" t="s">
        <v>259</v>
      </c>
      <c r="G83" s="673">
        <v>50.25</v>
      </c>
      <c r="H83" s="674">
        <v>39.225000000000001</v>
      </c>
      <c r="I83" s="675">
        <v>27.57</v>
      </c>
      <c r="J83" s="674">
        <v>45.55</v>
      </c>
      <c r="K83" s="676">
        <v>36.85</v>
      </c>
    </row>
    <row r="84" spans="6:11" ht="28.5" x14ac:dyDescent="0.25">
      <c r="F84" s="677" t="s">
        <v>699</v>
      </c>
      <c r="G84" s="673" t="s">
        <v>395</v>
      </c>
      <c r="H84" s="678" t="s">
        <v>395</v>
      </c>
      <c r="I84" s="423">
        <v>10.8</v>
      </c>
      <c r="J84" s="424" t="s">
        <v>395</v>
      </c>
      <c r="K84" s="425">
        <v>14.9375</v>
      </c>
    </row>
    <row r="85" spans="6:11" x14ac:dyDescent="0.25">
      <c r="F85" s="677" t="s">
        <v>789</v>
      </c>
      <c r="G85" s="673">
        <v>23.927090624999998</v>
      </c>
      <c r="H85" s="678">
        <v>19.528701771249999</v>
      </c>
      <c r="I85" s="423">
        <v>35.366472187499994</v>
      </c>
      <c r="J85" s="678">
        <v>19.092170546875</v>
      </c>
      <c r="K85" s="425">
        <v>33.881472187499995</v>
      </c>
    </row>
    <row r="86" spans="6:11" x14ac:dyDescent="0.25">
      <c r="F86" s="677" t="s">
        <v>348</v>
      </c>
      <c r="G86" s="673" t="s">
        <v>395</v>
      </c>
      <c r="H86" s="678" t="s">
        <v>395</v>
      </c>
      <c r="I86" s="423">
        <v>31.719533125000002</v>
      </c>
      <c r="J86" s="678" t="s">
        <v>395</v>
      </c>
      <c r="K86" s="425">
        <v>40.583271374999995</v>
      </c>
    </row>
    <row r="87" spans="6:11" x14ac:dyDescent="0.25">
      <c r="F87" s="677" t="s">
        <v>613</v>
      </c>
      <c r="G87" s="678">
        <v>76.715331249999991</v>
      </c>
      <c r="H87" s="678">
        <v>79.730302026999993</v>
      </c>
      <c r="I87" s="424" t="s">
        <v>395</v>
      </c>
      <c r="J87" s="678">
        <v>88.582813896874981</v>
      </c>
      <c r="K87" s="425" t="s">
        <v>395</v>
      </c>
    </row>
    <row r="88" spans="6:11" x14ac:dyDescent="0.25">
      <c r="F88" s="677" t="s">
        <v>489</v>
      </c>
      <c r="G88" s="673" t="s">
        <v>395</v>
      </c>
      <c r="H88" s="678">
        <v>1.856025</v>
      </c>
      <c r="I88" s="424" t="s">
        <v>395</v>
      </c>
      <c r="J88" s="678">
        <v>2.5778124999999998</v>
      </c>
      <c r="K88" s="425" t="s">
        <v>395</v>
      </c>
    </row>
    <row r="89" spans="6:11" x14ac:dyDescent="0.25">
      <c r="F89" s="677" t="s">
        <v>790</v>
      </c>
      <c r="G89" s="679" t="s">
        <v>395</v>
      </c>
      <c r="H89" s="680" t="s">
        <v>395</v>
      </c>
      <c r="I89" s="681">
        <v>17.230420799999997</v>
      </c>
      <c r="J89" s="680" t="s">
        <v>395</v>
      </c>
      <c r="K89" s="425">
        <v>24.556139999999999</v>
      </c>
    </row>
    <row r="90" spans="6:11" ht="15.75" thickBot="1" x14ac:dyDescent="0.3">
      <c r="F90" s="682" t="s">
        <v>791</v>
      </c>
      <c r="G90" s="683">
        <v>150.892421875</v>
      </c>
      <c r="H90" s="686">
        <v>140.34002879824999</v>
      </c>
      <c r="I90" s="687">
        <v>122.68642611249999</v>
      </c>
      <c r="J90" s="684">
        <v>155.80279694374997</v>
      </c>
      <c r="K90" s="685">
        <v>150.80838356250001</v>
      </c>
    </row>
    <row r="91" spans="6:11" ht="15.75" thickTop="1" x14ac:dyDescent="0.25">
      <c r="I91" s="688">
        <f>I90/H90*100-100</f>
        <v>-12.579164217736107</v>
      </c>
      <c r="J91" s="689" t="s">
        <v>819</v>
      </c>
    </row>
    <row r="93" spans="6:11" ht="15.75" thickBot="1" x14ac:dyDescent="0.3">
      <c r="F93" s="691" t="s">
        <v>793</v>
      </c>
    </row>
    <row r="94" spans="6:11" ht="45.75" thickTop="1" x14ac:dyDescent="0.25">
      <c r="F94" s="662" t="s">
        <v>659</v>
      </c>
      <c r="G94" s="663" t="s">
        <v>660</v>
      </c>
      <c r="H94" s="664" t="s">
        <v>661</v>
      </c>
      <c r="I94" s="665" t="s">
        <v>662</v>
      </c>
      <c r="J94" s="664" t="s">
        <v>663</v>
      </c>
      <c r="K94" s="666" t="s">
        <v>788</v>
      </c>
    </row>
    <row r="95" spans="6:11" x14ac:dyDescent="0.25">
      <c r="F95" s="667" t="s">
        <v>642</v>
      </c>
      <c r="G95" s="668">
        <v>2010</v>
      </c>
      <c r="H95" s="669">
        <v>2080</v>
      </c>
      <c r="I95" s="670">
        <v>2080</v>
      </c>
      <c r="J95" s="669">
        <v>2080</v>
      </c>
      <c r="K95" s="671">
        <v>2080</v>
      </c>
    </row>
    <row r="96" spans="6:11" x14ac:dyDescent="0.25">
      <c r="F96" s="672" t="s">
        <v>259</v>
      </c>
      <c r="G96" s="673">
        <v>50.25</v>
      </c>
      <c r="H96" s="674">
        <v>39.225000000000001</v>
      </c>
      <c r="I96" s="675">
        <v>27.57</v>
      </c>
      <c r="J96" s="674">
        <v>45.55</v>
      </c>
      <c r="K96" s="676">
        <v>36.85</v>
      </c>
    </row>
    <row r="97" spans="6:11" ht="28.5" x14ac:dyDescent="0.25">
      <c r="F97" s="677" t="s">
        <v>699</v>
      </c>
      <c r="G97" s="673" t="s">
        <v>395</v>
      </c>
      <c r="H97" s="678" t="s">
        <v>395</v>
      </c>
      <c r="I97" s="423">
        <v>10.8</v>
      </c>
      <c r="J97" s="424" t="s">
        <v>395</v>
      </c>
      <c r="K97" s="425">
        <v>14.9375</v>
      </c>
    </row>
    <row r="98" spans="6:11" x14ac:dyDescent="0.25">
      <c r="F98" s="677" t="s">
        <v>789</v>
      </c>
      <c r="G98" s="673">
        <v>23.927090624999998</v>
      </c>
      <c r="H98" s="678">
        <v>19.528701771249999</v>
      </c>
      <c r="I98" s="423">
        <v>35.366472187499994</v>
      </c>
      <c r="J98" s="678">
        <v>19.092170546875</v>
      </c>
      <c r="K98" s="425">
        <v>33.881472187499995</v>
      </c>
    </row>
    <row r="99" spans="6:11" x14ac:dyDescent="0.25">
      <c r="F99" s="677" t="s">
        <v>348</v>
      </c>
      <c r="G99" s="673" t="s">
        <v>395</v>
      </c>
      <c r="H99" s="678" t="s">
        <v>395</v>
      </c>
      <c r="I99" s="423">
        <v>31.719533125000002</v>
      </c>
      <c r="J99" s="678" t="s">
        <v>395</v>
      </c>
      <c r="K99" s="425">
        <v>40.583271374999995</v>
      </c>
    </row>
    <row r="100" spans="6:11" x14ac:dyDescent="0.25">
      <c r="F100" s="677" t="s">
        <v>613</v>
      </c>
      <c r="G100" s="678">
        <v>76.715331249999991</v>
      </c>
      <c r="H100" s="678">
        <v>79.730302026999993</v>
      </c>
      <c r="I100" s="424" t="s">
        <v>395</v>
      </c>
      <c r="J100" s="678">
        <v>88.582813896874981</v>
      </c>
      <c r="K100" s="425" t="s">
        <v>395</v>
      </c>
    </row>
    <row r="101" spans="6:11" x14ac:dyDescent="0.25">
      <c r="F101" s="677" t="s">
        <v>489</v>
      </c>
      <c r="G101" s="673" t="s">
        <v>395</v>
      </c>
      <c r="H101" s="678">
        <v>1.856025</v>
      </c>
      <c r="I101" s="424" t="s">
        <v>395</v>
      </c>
      <c r="J101" s="678">
        <v>2.5778124999999998</v>
      </c>
      <c r="K101" s="425" t="s">
        <v>395</v>
      </c>
    </row>
    <row r="102" spans="6:11" x14ac:dyDescent="0.25">
      <c r="F102" s="677" t="s">
        <v>790</v>
      </c>
      <c r="G102" s="679" t="s">
        <v>395</v>
      </c>
      <c r="H102" s="680" t="s">
        <v>395</v>
      </c>
      <c r="I102" s="681">
        <v>53.690770800000003</v>
      </c>
      <c r="J102" s="680" t="s">
        <v>395</v>
      </c>
      <c r="K102" s="425">
        <v>76.445515</v>
      </c>
    </row>
    <row r="103" spans="6:11" ht="15.75" thickBot="1" x14ac:dyDescent="0.3">
      <c r="F103" s="682" t="s">
        <v>791</v>
      </c>
      <c r="G103" s="683">
        <v>150.892421875</v>
      </c>
      <c r="H103" s="686">
        <v>140.34002879824999</v>
      </c>
      <c r="I103" s="687">
        <v>159.14677611249999</v>
      </c>
      <c r="J103" s="684">
        <v>155.80279694374997</v>
      </c>
      <c r="K103" s="685">
        <v>202.69775856249998</v>
      </c>
    </row>
    <row r="104" spans="6:11" ht="15.75" thickTop="1" x14ac:dyDescent="0.25">
      <c r="I104" s="688">
        <f>I103/H103*100-100</f>
        <v>13.400843277071161</v>
      </c>
      <c r="J104" s="689" t="s">
        <v>819</v>
      </c>
    </row>
    <row r="107" spans="6:11" x14ac:dyDescent="0.25">
      <c r="F107" s="42" t="s">
        <v>797</v>
      </c>
      <c r="G107" s="13"/>
      <c r="H107" s="13"/>
      <c r="I107" s="13"/>
      <c r="J107" s="13"/>
      <c r="K107" s="13"/>
    </row>
    <row r="108" spans="6:11" x14ac:dyDescent="0.25">
      <c r="F108" s="690"/>
      <c r="G108" s="16"/>
      <c r="H108" s="16"/>
      <c r="I108" s="16"/>
      <c r="J108" s="16"/>
      <c r="K108" s="16"/>
    </row>
    <row r="109" spans="6:11" ht="15.75" thickBot="1" x14ac:dyDescent="0.3">
      <c r="F109" s="691" t="s">
        <v>794</v>
      </c>
    </row>
    <row r="110" spans="6:11" ht="45.75" thickTop="1" x14ac:dyDescent="0.25">
      <c r="F110" s="662" t="s">
        <v>659</v>
      </c>
      <c r="G110" s="663" t="s">
        <v>660</v>
      </c>
      <c r="H110" s="664" t="s">
        <v>661</v>
      </c>
      <c r="I110" s="665" t="s">
        <v>662</v>
      </c>
      <c r="J110" s="664" t="s">
        <v>663</v>
      </c>
      <c r="K110" s="666" t="s">
        <v>788</v>
      </c>
    </row>
    <row r="111" spans="6:11" x14ac:dyDescent="0.25">
      <c r="F111" s="667" t="s">
        <v>642</v>
      </c>
      <c r="G111" s="668">
        <v>2010</v>
      </c>
      <c r="H111" s="669">
        <v>2080</v>
      </c>
      <c r="I111" s="670">
        <v>2080</v>
      </c>
      <c r="J111" s="669">
        <v>2080</v>
      </c>
      <c r="K111" s="671">
        <v>2080</v>
      </c>
    </row>
    <row r="112" spans="6:11" x14ac:dyDescent="0.25">
      <c r="F112" s="672" t="s">
        <v>259</v>
      </c>
      <c r="G112" s="673">
        <v>50.25</v>
      </c>
      <c r="H112" s="674">
        <v>39.225000000000001</v>
      </c>
      <c r="I112" s="675">
        <v>27.57</v>
      </c>
      <c r="J112" s="674">
        <v>45.55</v>
      </c>
      <c r="K112" s="676">
        <v>36.85</v>
      </c>
    </row>
    <row r="113" spans="6:11" ht="28.5" x14ac:dyDescent="0.25">
      <c r="F113" s="677" t="s">
        <v>699</v>
      </c>
      <c r="G113" s="673" t="s">
        <v>395</v>
      </c>
      <c r="H113" s="678" t="s">
        <v>395</v>
      </c>
      <c r="I113" s="423">
        <v>10.8</v>
      </c>
      <c r="J113" s="424" t="s">
        <v>395</v>
      </c>
      <c r="K113" s="425">
        <v>14.9375</v>
      </c>
    </row>
    <row r="114" spans="6:11" x14ac:dyDescent="0.25">
      <c r="F114" s="677" t="s">
        <v>789</v>
      </c>
      <c r="G114" s="673">
        <v>23.927090624999998</v>
      </c>
      <c r="H114" s="678">
        <v>19.528701771249999</v>
      </c>
      <c r="I114" s="423">
        <v>35.366472187499994</v>
      </c>
      <c r="J114" s="678">
        <v>19.092170546875</v>
      </c>
      <c r="K114" s="425">
        <v>33.881472187499995</v>
      </c>
    </row>
    <row r="115" spans="6:11" x14ac:dyDescent="0.25">
      <c r="F115" s="677" t="s">
        <v>348</v>
      </c>
      <c r="G115" s="673" t="s">
        <v>395</v>
      </c>
      <c r="H115" s="678" t="s">
        <v>395</v>
      </c>
      <c r="I115" s="423">
        <v>27.669533125000005</v>
      </c>
      <c r="J115" s="678" t="s">
        <v>395</v>
      </c>
      <c r="K115" s="425">
        <v>34.981708874999995</v>
      </c>
    </row>
    <row r="116" spans="6:11" x14ac:dyDescent="0.25">
      <c r="F116" s="677" t="s">
        <v>613</v>
      </c>
      <c r="G116" s="678">
        <v>76.715331249999991</v>
      </c>
      <c r="H116" s="678">
        <v>71.547469608249997</v>
      </c>
      <c r="I116" s="424" t="s">
        <v>395</v>
      </c>
      <c r="J116" s="678">
        <v>78.715044912499991</v>
      </c>
      <c r="K116" s="425" t="s">
        <v>395</v>
      </c>
    </row>
    <row r="117" spans="6:11" x14ac:dyDescent="0.25">
      <c r="F117" s="677" t="s">
        <v>489</v>
      </c>
      <c r="G117" s="673" t="s">
        <v>395</v>
      </c>
      <c r="H117" s="678">
        <v>1.856025</v>
      </c>
      <c r="I117" s="424" t="s">
        <v>395</v>
      </c>
      <c r="J117" s="678">
        <v>2.5778124999999998</v>
      </c>
      <c r="K117" s="425" t="s">
        <v>395</v>
      </c>
    </row>
    <row r="118" spans="6:11" x14ac:dyDescent="0.25">
      <c r="F118" s="677" t="s">
        <v>790</v>
      </c>
      <c r="G118" s="679" t="s">
        <v>395</v>
      </c>
      <c r="H118" s="680" t="s">
        <v>395</v>
      </c>
      <c r="I118" s="681">
        <v>35.4605958</v>
      </c>
      <c r="J118" s="680" t="s">
        <v>395</v>
      </c>
      <c r="K118" s="425">
        <v>50.5008275</v>
      </c>
    </row>
    <row r="119" spans="6:11" ht="15.75" thickBot="1" x14ac:dyDescent="0.3">
      <c r="F119" s="682" t="s">
        <v>791</v>
      </c>
      <c r="G119" s="683">
        <v>150.892421875</v>
      </c>
      <c r="H119" s="686">
        <v>132.15719637949999</v>
      </c>
      <c r="I119" s="687">
        <v>136.86660111250001</v>
      </c>
      <c r="J119" s="684">
        <v>145.93502795937496</v>
      </c>
      <c r="K119" s="685">
        <v>171.1515085625</v>
      </c>
    </row>
    <row r="120" spans="6:11" ht="15.75" thickTop="1" x14ac:dyDescent="0.25">
      <c r="I120" s="688">
        <f>I119/H119*100-100</f>
        <v>3.5634871668104751</v>
      </c>
      <c r="J120" s="689" t="s">
        <v>819</v>
      </c>
    </row>
    <row r="122" spans="6:11" ht="15.75" thickBot="1" x14ac:dyDescent="0.3">
      <c r="F122" s="691" t="s">
        <v>793</v>
      </c>
    </row>
    <row r="123" spans="6:11" ht="45.75" thickTop="1" x14ac:dyDescent="0.25">
      <c r="F123" s="662" t="s">
        <v>659</v>
      </c>
      <c r="G123" s="663" t="s">
        <v>660</v>
      </c>
      <c r="H123" s="664" t="s">
        <v>661</v>
      </c>
      <c r="I123" s="665" t="s">
        <v>662</v>
      </c>
      <c r="J123" s="664" t="s">
        <v>663</v>
      </c>
      <c r="K123" s="666" t="s">
        <v>788</v>
      </c>
    </row>
    <row r="124" spans="6:11" x14ac:dyDescent="0.25">
      <c r="F124" s="667" t="s">
        <v>642</v>
      </c>
      <c r="G124" s="668">
        <v>2010</v>
      </c>
      <c r="H124" s="669">
        <v>2080</v>
      </c>
      <c r="I124" s="670">
        <v>2080</v>
      </c>
      <c r="J124" s="669">
        <v>2080</v>
      </c>
      <c r="K124" s="671">
        <v>2080</v>
      </c>
    </row>
    <row r="125" spans="6:11" x14ac:dyDescent="0.25">
      <c r="F125" s="672" t="s">
        <v>259</v>
      </c>
      <c r="G125" s="673">
        <v>50.25</v>
      </c>
      <c r="H125" s="674">
        <v>39.225000000000001</v>
      </c>
      <c r="I125" s="675">
        <v>27.57</v>
      </c>
      <c r="J125" s="674">
        <v>45.55</v>
      </c>
      <c r="K125" s="676">
        <v>36.85</v>
      </c>
    </row>
    <row r="126" spans="6:11" ht="28.5" x14ac:dyDescent="0.25">
      <c r="F126" s="677" t="s">
        <v>699</v>
      </c>
      <c r="G126" s="673" t="s">
        <v>395</v>
      </c>
      <c r="H126" s="678" t="s">
        <v>395</v>
      </c>
      <c r="I126" s="423">
        <v>10.8</v>
      </c>
      <c r="J126" s="424" t="s">
        <v>395</v>
      </c>
      <c r="K126" s="425">
        <v>14.9375</v>
      </c>
    </row>
    <row r="127" spans="6:11" x14ac:dyDescent="0.25">
      <c r="F127" s="677" t="s">
        <v>789</v>
      </c>
      <c r="G127" s="673">
        <v>23.927090624999998</v>
      </c>
      <c r="H127" s="678">
        <v>19.528701771249999</v>
      </c>
      <c r="I127" s="423">
        <v>35.366472187499994</v>
      </c>
      <c r="J127" s="678">
        <v>19.092170546875</v>
      </c>
      <c r="K127" s="425">
        <v>33.881472187499995</v>
      </c>
    </row>
    <row r="128" spans="6:11" x14ac:dyDescent="0.25">
      <c r="F128" s="677" t="s">
        <v>348</v>
      </c>
      <c r="G128" s="673" t="s">
        <v>395</v>
      </c>
      <c r="H128" s="678" t="s">
        <v>395</v>
      </c>
      <c r="I128" s="423">
        <v>35.769533124999995</v>
      </c>
      <c r="J128" s="678" t="s">
        <v>395</v>
      </c>
      <c r="K128" s="425">
        <v>46.184833874999995</v>
      </c>
    </row>
    <row r="129" spans="6:11" x14ac:dyDescent="0.25">
      <c r="F129" s="677" t="s">
        <v>613</v>
      </c>
      <c r="G129" s="678">
        <v>76.715331249999991</v>
      </c>
      <c r="H129" s="678">
        <v>87.913134445750003</v>
      </c>
      <c r="I129" s="424" t="s">
        <v>395</v>
      </c>
      <c r="J129" s="678">
        <v>98.450582881249986</v>
      </c>
      <c r="K129" s="425" t="s">
        <v>395</v>
      </c>
    </row>
    <row r="130" spans="6:11" x14ac:dyDescent="0.25">
      <c r="F130" s="677" t="s">
        <v>489</v>
      </c>
      <c r="G130" s="673" t="s">
        <v>395</v>
      </c>
      <c r="H130" s="678">
        <v>1.856025</v>
      </c>
      <c r="I130" s="424" t="s">
        <v>395</v>
      </c>
      <c r="J130" s="678">
        <v>2.5778124999999998</v>
      </c>
      <c r="K130" s="425" t="s">
        <v>395</v>
      </c>
    </row>
    <row r="131" spans="6:11" x14ac:dyDescent="0.25">
      <c r="F131" s="677" t="s">
        <v>790</v>
      </c>
      <c r="G131" s="679" t="s">
        <v>395</v>
      </c>
      <c r="H131" s="680" t="s">
        <v>395</v>
      </c>
      <c r="I131" s="681">
        <v>35.4605958</v>
      </c>
      <c r="J131" s="680" t="s">
        <v>395</v>
      </c>
      <c r="K131" s="425">
        <v>50.5008275</v>
      </c>
    </row>
    <row r="132" spans="6:11" ht="15.75" thickBot="1" x14ac:dyDescent="0.3">
      <c r="F132" s="682" t="s">
        <v>791</v>
      </c>
      <c r="G132" s="683">
        <v>150.892421875</v>
      </c>
      <c r="H132" s="686">
        <v>148.52286121699998</v>
      </c>
      <c r="I132" s="687">
        <v>144.9666011125</v>
      </c>
      <c r="J132" s="684">
        <v>165.67056592812497</v>
      </c>
      <c r="K132" s="685">
        <v>182.3546335625</v>
      </c>
    </row>
    <row r="133" spans="6:11" ht="15.75" thickTop="1" x14ac:dyDescent="0.25">
      <c r="I133" s="688">
        <f>I132/H132*100-100</f>
        <v>-2.3944193340741577</v>
      </c>
      <c r="J133" s="689" t="s">
        <v>819</v>
      </c>
    </row>
  </sheetData>
  <mergeCells count="1">
    <mergeCell ref="B14:D14"/>
  </mergeCells>
  <phoneticPr fontId="39" type="noConversion"/>
  <pageMargins left="0.75" right="0.75" top="1" bottom="1" header="0.5" footer="0.5"/>
  <ignoredErrors>
    <ignoredError sqref="F22 F35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tabColor rgb="FF008000"/>
  </sheetPr>
  <dimension ref="B1:I48"/>
  <sheetViews>
    <sheetView workbookViewId="0">
      <selection activeCell="B2" sqref="B2"/>
    </sheetView>
  </sheetViews>
  <sheetFormatPr baseColWidth="10" defaultColWidth="10.85546875" defaultRowHeight="15" x14ac:dyDescent="0.25"/>
  <cols>
    <col min="1" max="1" width="0.42578125" style="936" customWidth="1"/>
    <col min="2" max="2" width="13" style="936" customWidth="1"/>
    <col min="3" max="4" width="10.85546875" style="936"/>
    <col min="5" max="5" width="12.28515625" style="936" customWidth="1"/>
    <col min="6" max="16384" width="10.85546875" style="936"/>
  </cols>
  <sheetData>
    <row r="1" spans="2:9" ht="3.95" customHeight="1" x14ac:dyDescent="0.25"/>
    <row r="2" spans="2:9" x14ac:dyDescent="0.25">
      <c r="B2" s="338" t="s">
        <v>915</v>
      </c>
      <c r="C2" s="937"/>
      <c r="D2" s="937"/>
      <c r="E2" s="937"/>
      <c r="F2" s="937"/>
      <c r="G2" s="937"/>
      <c r="H2" s="937"/>
      <c r="I2" s="937"/>
    </row>
    <row r="23" spans="3:4" ht="14.1" customHeight="1" x14ac:dyDescent="0.25"/>
    <row r="25" spans="3:4" x14ac:dyDescent="0.25">
      <c r="C25" s="938"/>
      <c r="D25" s="938"/>
    </row>
    <row r="26" spans="3:4" x14ac:dyDescent="0.25">
      <c r="C26" s="938"/>
      <c r="D26" s="938"/>
    </row>
    <row r="27" spans="3:4" x14ac:dyDescent="0.25">
      <c r="C27" s="939"/>
      <c r="D27" s="939"/>
    </row>
    <row r="28" spans="3:4" x14ac:dyDescent="0.25">
      <c r="C28" s="939"/>
      <c r="D28" s="939"/>
    </row>
    <row r="29" spans="3:4" x14ac:dyDescent="0.25">
      <c r="C29" s="939"/>
      <c r="D29" s="939"/>
    </row>
    <row r="48" spans="2:2" x14ac:dyDescent="0.25">
      <c r="B48" s="924"/>
    </row>
  </sheetData>
  <phoneticPr fontId="39" type="noConversion"/>
  <pageMargins left="0.75" right="0.75" top="1" bottom="1" header="0.5" footer="0.5"/>
  <pageSetup paperSize="0" orientation="portrait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L228"/>
  <sheetViews>
    <sheetView topLeftCell="A171" zoomScale="125" workbookViewId="0">
      <selection activeCell="E130" sqref="E130"/>
    </sheetView>
  </sheetViews>
  <sheetFormatPr baseColWidth="10" defaultColWidth="11.42578125" defaultRowHeight="12.75" x14ac:dyDescent="0.25"/>
  <cols>
    <col min="1" max="1" width="0.7109375" style="543" customWidth="1"/>
    <col min="2" max="2" width="15.140625" style="543" customWidth="1"/>
    <col min="3" max="3" width="16.42578125" style="543" customWidth="1"/>
    <col min="4" max="4" width="1.85546875" style="560" customWidth="1"/>
    <col min="5" max="5" width="16.42578125" style="543" customWidth="1"/>
    <col min="6" max="6" width="1.85546875" style="560" customWidth="1"/>
    <col min="7" max="7" width="16.42578125" style="543" customWidth="1"/>
    <col min="8" max="8" width="1.85546875" style="543" customWidth="1"/>
    <col min="9" max="9" width="17" style="543" customWidth="1"/>
    <col min="10" max="10" width="1.85546875" style="543" customWidth="1"/>
    <col min="11" max="11" width="16.85546875" style="543" customWidth="1"/>
    <col min="12" max="12" width="11.28515625" style="543" customWidth="1"/>
    <col min="13" max="13" width="0.85546875" style="543" customWidth="1"/>
    <col min="14" max="16384" width="11.42578125" style="543"/>
  </cols>
  <sheetData>
    <row r="1" spans="1:12" ht="4.5" customHeight="1" x14ac:dyDescent="0.25">
      <c r="A1" s="542"/>
      <c r="B1" s="542"/>
      <c r="C1" s="542"/>
      <c r="D1" s="557"/>
      <c r="E1" s="542"/>
      <c r="F1" s="557"/>
      <c r="G1" s="542"/>
      <c r="H1" s="542"/>
      <c r="I1" s="542"/>
      <c r="J1" s="542"/>
      <c r="K1" s="542"/>
    </row>
    <row r="2" spans="1:12" ht="15" x14ac:dyDescent="0.25">
      <c r="A2" s="542"/>
      <c r="B2" s="540" t="s">
        <v>603</v>
      </c>
      <c r="C2" s="541"/>
      <c r="D2" s="558"/>
      <c r="E2" s="541"/>
      <c r="F2" s="558"/>
      <c r="G2" s="541"/>
      <c r="H2" s="541"/>
      <c r="I2" s="541"/>
      <c r="J2" s="541"/>
      <c r="K2" s="541"/>
      <c r="L2" s="541"/>
    </row>
    <row r="3" spans="1:12" ht="12.95" customHeight="1" x14ac:dyDescent="0.25">
      <c r="A3" s="544"/>
      <c r="B3" s="545"/>
      <c r="C3" s="546"/>
      <c r="D3" s="559"/>
      <c r="E3" s="546"/>
      <c r="F3" s="559"/>
      <c r="G3" s="546"/>
      <c r="H3" s="546"/>
      <c r="I3" s="546"/>
      <c r="J3" s="546"/>
      <c r="K3" s="546"/>
      <c r="L3" s="546"/>
    </row>
    <row r="4" spans="1:12" ht="4.5" customHeight="1" x14ac:dyDescent="0.25">
      <c r="A4" s="544"/>
      <c r="B4" s="545"/>
      <c r="C4" s="546"/>
      <c r="D4" s="559"/>
      <c r="E4" s="546"/>
      <c r="F4" s="559"/>
      <c r="G4" s="546"/>
      <c r="H4" s="546"/>
      <c r="I4" s="546"/>
      <c r="J4" s="546"/>
      <c r="K4" s="546"/>
      <c r="L4" s="546"/>
    </row>
    <row r="5" spans="1:12" ht="20.100000000000001" customHeight="1" x14ac:dyDescent="0.25">
      <c r="A5" s="542"/>
      <c r="B5" s="1057" t="s">
        <v>259</v>
      </c>
      <c r="C5" s="1057"/>
      <c r="D5" s="1057"/>
      <c r="E5" s="1057"/>
      <c r="F5" s="1057"/>
      <c r="G5" s="1057"/>
      <c r="H5" s="1057"/>
      <c r="I5" s="1057"/>
      <c r="J5" s="1057"/>
      <c r="K5" s="1057"/>
      <c r="L5" s="1057"/>
    </row>
    <row r="6" spans="1:12" ht="3.95" customHeight="1" thickBot="1" x14ac:dyDescent="0.3">
      <c r="A6" s="542"/>
      <c r="B6" s="602"/>
      <c r="C6" s="602"/>
      <c r="D6" s="602"/>
      <c r="E6" s="602"/>
      <c r="F6" s="602"/>
      <c r="G6" s="602"/>
      <c r="H6" s="602"/>
      <c r="I6" s="602"/>
      <c r="J6" s="602"/>
      <c r="K6" s="602"/>
      <c r="L6" s="602"/>
    </row>
    <row r="7" spans="1:12" ht="17.25" customHeight="1" x14ac:dyDescent="0.25">
      <c r="A7" s="544"/>
      <c r="B7" s="555" t="s">
        <v>439</v>
      </c>
      <c r="C7" s="1051" t="s">
        <v>278</v>
      </c>
      <c r="D7" s="1049"/>
      <c r="E7" s="1049"/>
      <c r="F7" s="1049"/>
      <c r="G7" s="1049"/>
      <c r="H7" s="1049"/>
      <c r="I7" s="1049"/>
      <c r="J7" s="1049"/>
      <c r="K7" s="1049"/>
      <c r="L7" s="1050"/>
    </row>
    <row r="8" spans="1:12" ht="17.100000000000001" customHeight="1" thickBot="1" x14ac:dyDescent="0.3">
      <c r="B8" s="556" t="s">
        <v>100</v>
      </c>
      <c r="C8" s="1055" t="s">
        <v>440</v>
      </c>
      <c r="D8" s="1056"/>
      <c r="E8" s="1056"/>
      <c r="F8" s="1056"/>
      <c r="G8" s="1056"/>
      <c r="H8" s="1056"/>
      <c r="I8" s="1056"/>
      <c r="J8" s="1056"/>
      <c r="K8" s="1056"/>
      <c r="L8" s="554" t="s">
        <v>441</v>
      </c>
    </row>
    <row r="9" spans="1:12" ht="4.5" customHeight="1" thickBot="1" x14ac:dyDescent="0.3">
      <c r="B9" s="547"/>
      <c r="C9" s="548"/>
      <c r="D9" s="548"/>
      <c r="E9" s="548"/>
      <c r="F9" s="548"/>
      <c r="G9" s="548"/>
      <c r="H9" s="548"/>
      <c r="I9" s="548"/>
      <c r="J9" s="548"/>
      <c r="K9" s="548"/>
      <c r="L9" s="548"/>
    </row>
    <row r="10" spans="1:12" ht="17.25" customHeight="1" x14ac:dyDescent="0.25">
      <c r="B10" s="549" t="s">
        <v>650</v>
      </c>
      <c r="C10" s="1058" t="s">
        <v>538</v>
      </c>
      <c r="D10" s="1059"/>
      <c r="E10" s="1059"/>
      <c r="F10" s="1059"/>
      <c r="G10" s="1059"/>
      <c r="H10" s="1059"/>
      <c r="I10" s="1059"/>
      <c r="J10" s="1059"/>
      <c r="K10" s="1059"/>
      <c r="L10" s="1060"/>
    </row>
    <row r="11" spans="1:12" ht="33.950000000000003" customHeight="1" x14ac:dyDescent="0.25">
      <c r="B11" s="569" t="s">
        <v>126</v>
      </c>
      <c r="C11" s="570" t="s">
        <v>611</v>
      </c>
      <c r="D11" s="571" t="s">
        <v>73</v>
      </c>
      <c r="E11" s="572" t="s">
        <v>292</v>
      </c>
      <c r="F11" s="571" t="s">
        <v>73</v>
      </c>
      <c r="G11" s="572" t="s">
        <v>612</v>
      </c>
      <c r="H11" s="575"/>
      <c r="I11" s="572"/>
      <c r="J11" s="575"/>
      <c r="K11" s="572"/>
      <c r="L11" s="569"/>
    </row>
    <row r="12" spans="1:12" ht="17.100000000000001" customHeight="1" x14ac:dyDescent="0.25">
      <c r="B12" s="564"/>
      <c r="C12" s="565">
        <f>'Ausgabe Mengenbilanzen'!C7</f>
        <v>25.125</v>
      </c>
      <c r="D12" s="566"/>
      <c r="E12" s="567">
        <f>'Eingabe Annahmen'!E43</f>
        <v>2</v>
      </c>
      <c r="F12" s="566"/>
      <c r="G12" s="567">
        <f>'Eingabe Annahmen'!F44</f>
        <v>0.5</v>
      </c>
      <c r="H12" s="576"/>
      <c r="I12" s="567"/>
      <c r="J12" s="576"/>
      <c r="K12" s="567"/>
      <c r="L12" s="568">
        <f>C12*E12*G12</f>
        <v>25.125</v>
      </c>
    </row>
    <row r="13" spans="1:12" ht="33.950000000000003" customHeight="1" x14ac:dyDescent="0.25">
      <c r="B13" s="569" t="s">
        <v>456</v>
      </c>
      <c r="C13" s="570" t="s">
        <v>434</v>
      </c>
      <c r="D13" s="571" t="s">
        <v>73</v>
      </c>
      <c r="E13" s="572" t="s">
        <v>291</v>
      </c>
      <c r="F13" s="571" t="s">
        <v>73</v>
      </c>
      <c r="G13" s="572" t="s">
        <v>293</v>
      </c>
      <c r="H13" s="575"/>
      <c r="I13" s="572"/>
      <c r="J13" s="575"/>
      <c r="K13" s="572"/>
      <c r="L13" s="569"/>
    </row>
    <row r="14" spans="1:12" ht="17.100000000000001" customHeight="1" x14ac:dyDescent="0.25">
      <c r="B14" s="564"/>
      <c r="C14" s="565">
        <f>'Ausgabe Mengenbilanzen'!D7</f>
        <v>14.1</v>
      </c>
      <c r="D14" s="566"/>
      <c r="E14" s="567">
        <f>'Eingabe Annahmen'!E43</f>
        <v>2</v>
      </c>
      <c r="F14" s="566"/>
      <c r="G14" s="567">
        <f>'Eingabe Annahmen'!F45</f>
        <v>0.5</v>
      </c>
      <c r="H14" s="576"/>
      <c r="I14" s="567"/>
      <c r="J14" s="576"/>
      <c r="K14" s="567"/>
      <c r="L14" s="568">
        <f>C14*E14*G14</f>
        <v>14.1</v>
      </c>
    </row>
    <row r="15" spans="1:12" ht="17.100000000000001" customHeight="1" thickBot="1" x14ac:dyDescent="0.3">
      <c r="B15" s="550" t="s">
        <v>529</v>
      </c>
      <c r="C15" s="561"/>
      <c r="D15" s="547"/>
      <c r="E15" s="562"/>
      <c r="F15" s="547"/>
      <c r="G15" s="562"/>
      <c r="H15" s="562"/>
      <c r="I15" s="562"/>
      <c r="J15" s="562"/>
      <c r="K15" s="562"/>
      <c r="L15" s="563">
        <f>L12+L14</f>
        <v>39.225000000000001</v>
      </c>
    </row>
    <row r="16" spans="1:12" ht="4.5" customHeight="1" thickBot="1" x14ac:dyDescent="0.3">
      <c r="B16" s="547"/>
      <c r="C16" s="548"/>
      <c r="D16" s="548"/>
      <c r="E16" s="548"/>
      <c r="F16" s="548"/>
      <c r="G16" s="548"/>
      <c r="H16" s="548"/>
      <c r="I16" s="548"/>
      <c r="J16" s="548"/>
      <c r="K16" s="548"/>
      <c r="L16" s="548"/>
    </row>
    <row r="17" spans="2:12" ht="17.25" customHeight="1" x14ac:dyDescent="0.25">
      <c r="B17" s="642" t="s">
        <v>753</v>
      </c>
      <c r="C17" s="1048" t="s">
        <v>435</v>
      </c>
      <c r="D17" s="1049"/>
      <c r="E17" s="1049"/>
      <c r="F17" s="1049"/>
      <c r="G17" s="1049"/>
      <c r="H17" s="1049"/>
      <c r="I17" s="1049"/>
      <c r="J17" s="1049"/>
      <c r="K17" s="1049"/>
      <c r="L17" s="1050"/>
    </row>
    <row r="18" spans="2:12" ht="33.950000000000003" customHeight="1" x14ac:dyDescent="0.25">
      <c r="B18" s="552" t="s">
        <v>93</v>
      </c>
      <c r="C18" s="578" t="s">
        <v>610</v>
      </c>
      <c r="D18" s="579" t="s">
        <v>73</v>
      </c>
      <c r="E18" s="580" t="s">
        <v>392</v>
      </c>
      <c r="F18" s="579" t="s">
        <v>73</v>
      </c>
      <c r="G18" s="580" t="s">
        <v>501</v>
      </c>
      <c r="H18" s="581"/>
      <c r="I18" s="580"/>
      <c r="J18" s="581"/>
      <c r="K18" s="580"/>
      <c r="L18" s="552"/>
    </row>
    <row r="19" spans="2:12" ht="17.100000000000001" customHeight="1" x14ac:dyDescent="0.25">
      <c r="B19" s="564"/>
      <c r="C19" s="565">
        <f>'Ausgabe Mengenbilanzen'!C7</f>
        <v>25.125</v>
      </c>
      <c r="D19" s="566"/>
      <c r="E19" s="567">
        <f>'Eingabe Annahmen'!E43</f>
        <v>2</v>
      </c>
      <c r="F19" s="566"/>
      <c r="G19" s="567">
        <f>'Eingabe Annahmen'!E44</f>
        <v>0.6</v>
      </c>
      <c r="H19" s="576"/>
      <c r="I19" s="567"/>
      <c r="J19" s="576"/>
      <c r="K19" s="567"/>
      <c r="L19" s="568">
        <f>C19*E19*G19</f>
        <v>30.15</v>
      </c>
    </row>
    <row r="20" spans="2:12" ht="33.950000000000003" customHeight="1" x14ac:dyDescent="0.25">
      <c r="B20" s="569" t="s">
        <v>456</v>
      </c>
      <c r="C20" s="570" t="s">
        <v>354</v>
      </c>
      <c r="D20" s="571" t="s">
        <v>73</v>
      </c>
      <c r="E20" s="572" t="s">
        <v>502</v>
      </c>
      <c r="F20" s="571" t="s">
        <v>73</v>
      </c>
      <c r="G20" s="572" t="s">
        <v>503</v>
      </c>
      <c r="H20" s="575"/>
      <c r="I20" s="572"/>
      <c r="J20" s="575"/>
      <c r="K20" s="572"/>
      <c r="L20" s="569"/>
    </row>
    <row r="21" spans="2:12" ht="17.100000000000001" customHeight="1" x14ac:dyDescent="0.25">
      <c r="B21" s="564"/>
      <c r="C21" s="565">
        <f>'Ausgabe Mengenbilanzen'!H7</f>
        <v>19.25</v>
      </c>
      <c r="D21" s="566"/>
      <c r="E21" s="567">
        <f>'Eingabe Annahmen'!E43</f>
        <v>2</v>
      </c>
      <c r="F21" s="566"/>
      <c r="G21" s="567">
        <f>'Eingabe Annahmen'!E45</f>
        <v>0.4</v>
      </c>
      <c r="H21" s="576"/>
      <c r="I21" s="567"/>
      <c r="J21" s="576"/>
      <c r="K21" s="567"/>
      <c r="L21" s="568">
        <f>C21*E21*G21</f>
        <v>15.4</v>
      </c>
    </row>
    <row r="22" spans="2:12" ht="17.100000000000001" customHeight="1" thickBot="1" x14ac:dyDescent="0.3">
      <c r="B22" s="550" t="s">
        <v>529</v>
      </c>
      <c r="C22" s="561"/>
      <c r="D22" s="547"/>
      <c r="E22" s="562"/>
      <c r="F22" s="547"/>
      <c r="G22" s="562"/>
      <c r="H22" s="562"/>
      <c r="I22" s="562"/>
      <c r="J22" s="562"/>
      <c r="K22" s="562"/>
      <c r="L22" s="563">
        <f>L19+L21</f>
        <v>45.55</v>
      </c>
    </row>
    <row r="23" spans="2:12" ht="4.5" customHeight="1" thickBot="1" x14ac:dyDescent="0.3">
      <c r="B23" s="547"/>
      <c r="C23" s="548"/>
      <c r="D23" s="548"/>
      <c r="E23" s="548"/>
      <c r="F23" s="548"/>
      <c r="G23" s="548"/>
      <c r="H23" s="548"/>
      <c r="I23" s="548"/>
      <c r="J23" s="548"/>
      <c r="K23" s="548"/>
      <c r="L23" s="548"/>
    </row>
    <row r="24" spans="2:12" ht="17.25" customHeight="1" x14ac:dyDescent="0.25">
      <c r="B24" s="643" t="s">
        <v>754</v>
      </c>
      <c r="C24" s="1048" t="s">
        <v>538</v>
      </c>
      <c r="D24" s="1049"/>
      <c r="E24" s="1049"/>
      <c r="F24" s="1049"/>
      <c r="G24" s="1049"/>
      <c r="H24" s="1049"/>
      <c r="I24" s="1049"/>
      <c r="J24" s="1049"/>
      <c r="K24" s="1049"/>
      <c r="L24" s="1050"/>
    </row>
    <row r="25" spans="2:12" ht="33.950000000000003" customHeight="1" x14ac:dyDescent="0.25">
      <c r="B25" s="552" t="s">
        <v>43</v>
      </c>
      <c r="C25" s="578" t="s">
        <v>611</v>
      </c>
      <c r="D25" s="579" t="s">
        <v>73</v>
      </c>
      <c r="E25" s="580" t="s">
        <v>504</v>
      </c>
      <c r="F25" s="579" t="s">
        <v>73</v>
      </c>
      <c r="G25" s="580" t="s">
        <v>388</v>
      </c>
      <c r="H25" s="581"/>
      <c r="I25" s="580"/>
      <c r="J25" s="581"/>
      <c r="K25" s="580"/>
      <c r="L25" s="552"/>
    </row>
    <row r="26" spans="2:12" ht="17.100000000000001" customHeight="1" x14ac:dyDescent="0.25">
      <c r="B26" s="564"/>
      <c r="C26" s="565">
        <f>'Ausgabe Mengenbilanzen'!C7</f>
        <v>25.125</v>
      </c>
      <c r="D26" s="566"/>
      <c r="E26" s="567">
        <f>'Eingabe Annahmen'!E43</f>
        <v>2</v>
      </c>
      <c r="F26" s="566"/>
      <c r="G26" s="567">
        <f>'Eingabe Annahmen'!G44</f>
        <v>0.4</v>
      </c>
      <c r="H26" s="576"/>
      <c r="I26" s="567"/>
      <c r="J26" s="576"/>
      <c r="K26" s="567"/>
      <c r="L26" s="568">
        <f>C26*E26*G26</f>
        <v>20.100000000000001</v>
      </c>
    </row>
    <row r="27" spans="2:12" ht="33.950000000000003" customHeight="1" x14ac:dyDescent="0.25">
      <c r="B27" s="569" t="s">
        <v>20</v>
      </c>
      <c r="C27" s="570" t="s">
        <v>355</v>
      </c>
      <c r="D27" s="571" t="s">
        <v>73</v>
      </c>
      <c r="E27" s="572" t="s">
        <v>540</v>
      </c>
      <c r="F27" s="571" t="s">
        <v>73</v>
      </c>
      <c r="G27" s="572" t="s">
        <v>290</v>
      </c>
      <c r="H27" s="575"/>
      <c r="I27" s="572"/>
      <c r="J27" s="575"/>
      <c r="K27" s="572"/>
      <c r="L27" s="569"/>
    </row>
    <row r="28" spans="2:12" ht="17.100000000000001" customHeight="1" x14ac:dyDescent="0.25">
      <c r="B28" s="564"/>
      <c r="C28" s="565">
        <f>'Ausgabe Mengenbilanzen'!E7</f>
        <v>6.2249999999999996</v>
      </c>
      <c r="D28" s="566"/>
      <c r="E28" s="567">
        <f>'Eingabe Annahmen'!E43</f>
        <v>2</v>
      </c>
      <c r="F28" s="566"/>
      <c r="G28" s="567">
        <f>'Eingabe Annahmen'!G45</f>
        <v>0.6</v>
      </c>
      <c r="H28" s="576"/>
      <c r="I28" s="567"/>
      <c r="J28" s="576"/>
      <c r="K28" s="567"/>
      <c r="L28" s="568">
        <f>C28*E28*G28</f>
        <v>7.4699999999999989</v>
      </c>
    </row>
    <row r="29" spans="2:12" ht="17.100000000000001" customHeight="1" thickBot="1" x14ac:dyDescent="0.3">
      <c r="B29" s="550" t="s">
        <v>529</v>
      </c>
      <c r="C29" s="561"/>
      <c r="D29" s="547"/>
      <c r="E29" s="562"/>
      <c r="F29" s="547"/>
      <c r="G29" s="562"/>
      <c r="H29" s="562"/>
      <c r="I29" s="562"/>
      <c r="J29" s="562"/>
      <c r="K29" s="562"/>
      <c r="L29" s="563">
        <f>L26+L28</f>
        <v>27.57</v>
      </c>
    </row>
    <row r="30" spans="2:12" ht="4.5" customHeight="1" thickBot="1" x14ac:dyDescent="0.3">
      <c r="B30" s="547"/>
      <c r="C30" s="548"/>
      <c r="D30" s="548"/>
      <c r="E30" s="548"/>
      <c r="F30" s="548"/>
      <c r="G30" s="548"/>
      <c r="H30" s="548"/>
      <c r="I30" s="548"/>
      <c r="J30" s="548"/>
      <c r="K30" s="548"/>
      <c r="L30" s="548"/>
    </row>
    <row r="31" spans="2:12" ht="17.25" customHeight="1" x14ac:dyDescent="0.25">
      <c r="B31" s="642" t="s">
        <v>755</v>
      </c>
      <c r="C31" s="1048" t="s">
        <v>435</v>
      </c>
      <c r="D31" s="1049"/>
      <c r="E31" s="1049"/>
      <c r="F31" s="1049"/>
      <c r="G31" s="1049"/>
      <c r="H31" s="1049"/>
      <c r="I31" s="1049"/>
      <c r="J31" s="1049"/>
      <c r="K31" s="1049"/>
      <c r="L31" s="1050"/>
    </row>
    <row r="32" spans="2:12" ht="33.950000000000003" customHeight="1" x14ac:dyDescent="0.25">
      <c r="B32" s="552" t="s">
        <v>19</v>
      </c>
      <c r="C32" s="578" t="s">
        <v>3</v>
      </c>
      <c r="D32" s="579" t="s">
        <v>73</v>
      </c>
      <c r="E32" s="580" t="s">
        <v>4</v>
      </c>
      <c r="F32" s="579" t="s">
        <v>73</v>
      </c>
      <c r="G32" s="580" t="s">
        <v>5</v>
      </c>
      <c r="H32" s="581"/>
      <c r="I32" s="580"/>
      <c r="J32" s="581"/>
      <c r="K32" s="580"/>
      <c r="L32" s="552"/>
    </row>
    <row r="33" spans="1:12" ht="17.100000000000001" customHeight="1" x14ac:dyDescent="0.25">
      <c r="B33" s="564"/>
      <c r="C33" s="565">
        <f>'Ausgabe Mengenbilanzen'!C7</f>
        <v>25.125</v>
      </c>
      <c r="D33" s="566"/>
      <c r="E33" s="567">
        <f>'Eingabe Annahmen'!E43</f>
        <v>2</v>
      </c>
      <c r="F33" s="566"/>
      <c r="G33" s="567">
        <f>'Eingabe Annahmen'!E44</f>
        <v>0.6</v>
      </c>
      <c r="H33" s="576"/>
      <c r="I33" s="567"/>
      <c r="J33" s="576"/>
      <c r="K33" s="567"/>
      <c r="L33" s="568">
        <f>C33*E33*G33</f>
        <v>30.15</v>
      </c>
    </row>
    <row r="34" spans="1:12" ht="33.950000000000003" customHeight="1" x14ac:dyDescent="0.25">
      <c r="B34" s="569" t="s">
        <v>456</v>
      </c>
      <c r="C34" s="570" t="s">
        <v>356</v>
      </c>
      <c r="D34" s="571" t="s">
        <v>73</v>
      </c>
      <c r="E34" s="572" t="s">
        <v>98</v>
      </c>
      <c r="F34" s="571" t="s">
        <v>73</v>
      </c>
      <c r="G34" s="572" t="s">
        <v>99</v>
      </c>
      <c r="H34" s="575"/>
      <c r="I34" s="572"/>
      <c r="J34" s="575"/>
      <c r="K34" s="572"/>
      <c r="L34" s="569"/>
    </row>
    <row r="35" spans="1:12" ht="17.100000000000001" customHeight="1" x14ac:dyDescent="0.25">
      <c r="B35" s="564"/>
      <c r="C35" s="565">
        <f>'Ausgabe Mengenbilanzen'!I7</f>
        <v>8.375</v>
      </c>
      <c r="D35" s="566"/>
      <c r="E35" s="567">
        <f>'Eingabe Annahmen'!E43</f>
        <v>2</v>
      </c>
      <c r="F35" s="566"/>
      <c r="G35" s="567">
        <f>'Eingabe Annahmen'!E45</f>
        <v>0.4</v>
      </c>
      <c r="H35" s="576"/>
      <c r="I35" s="567"/>
      <c r="J35" s="576"/>
      <c r="K35" s="567"/>
      <c r="L35" s="568">
        <f>C35*E35*G35</f>
        <v>6.7</v>
      </c>
    </row>
    <row r="36" spans="1:12" ht="17.100000000000001" customHeight="1" thickBot="1" x14ac:dyDescent="0.3">
      <c r="B36" s="553" t="s">
        <v>529</v>
      </c>
      <c r="C36" s="561"/>
      <c r="D36" s="547"/>
      <c r="E36" s="562"/>
      <c r="F36" s="547"/>
      <c r="G36" s="562"/>
      <c r="H36" s="562"/>
      <c r="I36" s="562"/>
      <c r="J36" s="562"/>
      <c r="K36" s="562"/>
      <c r="L36" s="563">
        <f>L33+L35</f>
        <v>36.85</v>
      </c>
    </row>
    <row r="37" spans="1:12" ht="3.95" customHeight="1" x14ac:dyDescent="0.25">
      <c r="B37" s="544"/>
      <c r="C37" s="544"/>
      <c r="D37" s="548"/>
      <c r="E37" s="544"/>
      <c r="F37" s="548"/>
      <c r="G37" s="544"/>
      <c r="H37" s="544"/>
      <c r="I37" s="544"/>
      <c r="J37" s="544"/>
      <c r="K37" s="544"/>
      <c r="L37" s="586"/>
    </row>
    <row r="38" spans="1:12" ht="17.100000000000001" customHeight="1" x14ac:dyDescent="0.25">
      <c r="B38" s="551"/>
      <c r="C38" s="546"/>
      <c r="D38" s="559"/>
      <c r="E38" s="546"/>
      <c r="F38" s="559"/>
      <c r="G38" s="546"/>
      <c r="H38" s="546"/>
      <c r="I38" s="546"/>
      <c r="J38" s="546"/>
      <c r="K38" s="546"/>
      <c r="L38" s="546"/>
    </row>
    <row r="39" spans="1:12" ht="20.100000000000001" customHeight="1" x14ac:dyDescent="0.25">
      <c r="A39" s="542"/>
      <c r="B39" s="1057" t="s">
        <v>846</v>
      </c>
      <c r="C39" s="1057"/>
      <c r="D39" s="1057"/>
      <c r="E39" s="1057"/>
      <c r="F39" s="1057"/>
      <c r="G39" s="1057"/>
      <c r="H39" s="1057"/>
      <c r="I39" s="1057"/>
      <c r="J39" s="1057"/>
      <c r="K39" s="1057"/>
      <c r="L39" s="1057"/>
    </row>
    <row r="40" spans="1:12" ht="3.95" customHeight="1" thickBot="1" x14ac:dyDescent="0.3">
      <c r="A40" s="542"/>
      <c r="B40" s="602"/>
      <c r="C40" s="602"/>
      <c r="D40" s="602"/>
      <c r="E40" s="602"/>
      <c r="F40" s="602"/>
      <c r="G40" s="602"/>
      <c r="H40" s="602"/>
      <c r="I40" s="602"/>
      <c r="J40" s="602"/>
      <c r="K40" s="602"/>
      <c r="L40" s="602"/>
    </row>
    <row r="41" spans="1:12" ht="17.25" customHeight="1" x14ac:dyDescent="0.25">
      <c r="A41" s="544"/>
      <c r="B41" s="555" t="s">
        <v>439</v>
      </c>
      <c r="C41" s="1051" t="s">
        <v>278</v>
      </c>
      <c r="D41" s="1049"/>
      <c r="E41" s="1049"/>
      <c r="F41" s="1049"/>
      <c r="G41" s="1049"/>
      <c r="H41" s="1049"/>
      <c r="I41" s="1049"/>
      <c r="J41" s="1049"/>
      <c r="K41" s="1049"/>
      <c r="L41" s="1050"/>
    </row>
    <row r="42" spans="1:12" ht="17.100000000000001" customHeight="1" thickBot="1" x14ac:dyDescent="0.3">
      <c r="B42" s="556" t="s">
        <v>100</v>
      </c>
      <c r="C42" s="1055" t="s">
        <v>440</v>
      </c>
      <c r="D42" s="1056"/>
      <c r="E42" s="1056"/>
      <c r="F42" s="1056"/>
      <c r="G42" s="1056"/>
      <c r="H42" s="1056"/>
      <c r="I42" s="1056"/>
      <c r="J42" s="1056"/>
      <c r="K42" s="1056"/>
      <c r="L42" s="554" t="s">
        <v>441</v>
      </c>
    </row>
    <row r="43" spans="1:12" ht="4.5" customHeight="1" thickBot="1" x14ac:dyDescent="0.3">
      <c r="B43" s="547"/>
      <c r="C43" s="548"/>
      <c r="D43" s="548"/>
      <c r="E43" s="548"/>
      <c r="F43" s="548"/>
      <c r="G43" s="548"/>
      <c r="H43" s="548"/>
      <c r="I43" s="548"/>
      <c r="J43" s="548"/>
      <c r="K43" s="548"/>
      <c r="L43" s="548"/>
    </row>
    <row r="44" spans="1:12" ht="17.25" customHeight="1" x14ac:dyDescent="0.25">
      <c r="B44" s="549" t="s">
        <v>754</v>
      </c>
      <c r="C44" s="1058" t="s">
        <v>384</v>
      </c>
      <c r="D44" s="1059"/>
      <c r="E44" s="1059"/>
      <c r="F44" s="1059"/>
      <c r="G44" s="1059"/>
      <c r="H44" s="1059"/>
      <c r="I44" s="1059"/>
      <c r="J44" s="1059"/>
      <c r="K44" s="1059"/>
      <c r="L44" s="1060"/>
    </row>
    <row r="45" spans="1:12" ht="51" customHeight="1" x14ac:dyDescent="0.25">
      <c r="B45" s="569" t="s">
        <v>296</v>
      </c>
      <c r="C45" s="570" t="s">
        <v>357</v>
      </c>
      <c r="D45" s="571" t="s">
        <v>295</v>
      </c>
      <c r="E45" s="572" t="s">
        <v>294</v>
      </c>
      <c r="F45" s="571"/>
      <c r="G45" s="572"/>
      <c r="H45" s="575"/>
      <c r="I45" s="572"/>
      <c r="J45" s="575"/>
      <c r="K45" s="572"/>
      <c r="L45" s="569"/>
    </row>
    <row r="46" spans="1:12" ht="17.100000000000001" customHeight="1" x14ac:dyDescent="0.25">
      <c r="B46" s="564"/>
      <c r="C46" s="583">
        <f>'Ausgabe Mengenbilanzen'!E8</f>
        <v>10.8</v>
      </c>
      <c r="D46" s="584"/>
      <c r="E46" s="582">
        <f>'Eingabe Annahmen'!G56</f>
        <v>1</v>
      </c>
      <c r="F46" s="584"/>
      <c r="G46" s="582"/>
      <c r="H46" s="576"/>
      <c r="I46" s="582"/>
      <c r="J46" s="576"/>
      <c r="K46" s="582"/>
      <c r="L46" s="568">
        <f>C46*E46</f>
        <v>10.8</v>
      </c>
    </row>
    <row r="47" spans="1:12" ht="17.100000000000001" customHeight="1" thickBot="1" x14ac:dyDescent="0.3">
      <c r="B47" s="573" t="s">
        <v>529</v>
      </c>
      <c r="C47" s="561"/>
      <c r="D47" s="547"/>
      <c r="E47" s="562"/>
      <c r="F47" s="547"/>
      <c r="G47" s="562"/>
      <c r="H47" s="562"/>
      <c r="I47" s="562"/>
      <c r="J47" s="562"/>
      <c r="K47" s="562"/>
      <c r="L47" s="563">
        <f>L46</f>
        <v>10.8</v>
      </c>
    </row>
    <row r="48" spans="1:12" ht="4.5" customHeight="1" thickBot="1" x14ac:dyDescent="0.3">
      <c r="B48" s="547"/>
      <c r="C48" s="548"/>
      <c r="D48" s="548"/>
      <c r="E48" s="548"/>
      <c r="F48" s="548"/>
      <c r="G48" s="548"/>
      <c r="H48" s="548"/>
      <c r="I48" s="548"/>
      <c r="J48" s="548"/>
      <c r="K48" s="548"/>
      <c r="L48" s="548"/>
    </row>
    <row r="49" spans="1:12" ht="17.25" customHeight="1" x14ac:dyDescent="0.25">
      <c r="B49" s="642" t="s">
        <v>755</v>
      </c>
      <c r="C49" s="1048" t="s">
        <v>385</v>
      </c>
      <c r="D49" s="1049"/>
      <c r="E49" s="1049"/>
      <c r="F49" s="1049"/>
      <c r="G49" s="1049"/>
      <c r="H49" s="1049"/>
      <c r="I49" s="1049"/>
      <c r="J49" s="1049"/>
      <c r="K49" s="1049"/>
      <c r="L49" s="1050"/>
    </row>
    <row r="50" spans="1:12" ht="51" customHeight="1" x14ac:dyDescent="0.25">
      <c r="B50" s="552" t="s">
        <v>296</v>
      </c>
      <c r="C50" s="578" t="s">
        <v>664</v>
      </c>
      <c r="D50" s="579" t="s">
        <v>295</v>
      </c>
      <c r="E50" s="580" t="s">
        <v>294</v>
      </c>
      <c r="F50" s="579"/>
      <c r="G50" s="580"/>
      <c r="H50" s="581"/>
      <c r="I50" s="580"/>
      <c r="J50" s="581"/>
      <c r="K50" s="580"/>
      <c r="L50" s="552"/>
    </row>
    <row r="51" spans="1:12" ht="17.100000000000001" customHeight="1" x14ac:dyDescent="0.25">
      <c r="B51" s="564"/>
      <c r="C51" s="583">
        <f>'Ausgabe Mengenbilanzen'!I8</f>
        <v>14.9375</v>
      </c>
      <c r="D51" s="584"/>
      <c r="E51" s="582">
        <f>'Eingabe Annahmen'!G56</f>
        <v>1</v>
      </c>
      <c r="F51" s="584"/>
      <c r="G51" s="582"/>
      <c r="H51" s="576"/>
      <c r="I51" s="582"/>
      <c r="J51" s="576"/>
      <c r="K51" s="582"/>
      <c r="L51" s="568">
        <f>C51*E51</f>
        <v>14.9375</v>
      </c>
    </row>
    <row r="52" spans="1:12" ht="17.100000000000001" customHeight="1" thickBot="1" x14ac:dyDescent="0.3">
      <c r="B52" s="573" t="s">
        <v>529</v>
      </c>
      <c r="C52" s="561"/>
      <c r="D52" s="547"/>
      <c r="E52" s="562"/>
      <c r="F52" s="547"/>
      <c r="G52" s="562"/>
      <c r="H52" s="562"/>
      <c r="I52" s="562"/>
      <c r="J52" s="562"/>
      <c r="K52" s="562"/>
      <c r="L52" s="563">
        <f>L51</f>
        <v>14.9375</v>
      </c>
    </row>
    <row r="53" spans="1:12" ht="4.5" customHeight="1" x14ac:dyDescent="0.25">
      <c r="B53" s="548"/>
      <c r="C53" s="548"/>
      <c r="D53" s="548"/>
      <c r="E53" s="548"/>
      <c r="F53" s="548"/>
      <c r="G53" s="548"/>
      <c r="H53" s="548"/>
      <c r="I53" s="548"/>
      <c r="J53" s="548"/>
      <c r="K53" s="548"/>
      <c r="L53" s="548"/>
    </row>
    <row r="54" spans="1:12" ht="17.100000000000001" customHeight="1" x14ac:dyDescent="0.25">
      <c r="B54" s="587"/>
      <c r="C54" s="546"/>
      <c r="D54" s="559"/>
      <c r="E54" s="546"/>
      <c r="F54" s="559"/>
      <c r="G54" s="546"/>
      <c r="H54" s="546"/>
      <c r="I54" s="546"/>
      <c r="J54" s="546"/>
      <c r="K54" s="546"/>
      <c r="L54" s="546"/>
    </row>
    <row r="55" spans="1:12" ht="20.100000000000001" customHeight="1" x14ac:dyDescent="0.25">
      <c r="B55" s="545" t="s">
        <v>666</v>
      </c>
      <c r="C55" s="546"/>
      <c r="D55" s="559"/>
      <c r="E55" s="546"/>
      <c r="F55" s="559"/>
      <c r="G55" s="546"/>
      <c r="H55" s="546"/>
      <c r="I55" s="546"/>
      <c r="J55" s="546"/>
      <c r="K55" s="546"/>
      <c r="L55" s="546"/>
    </row>
    <row r="56" spans="1:12" ht="3.95" customHeight="1" thickBot="1" x14ac:dyDescent="0.3">
      <c r="B56" s="545"/>
      <c r="C56" s="546"/>
      <c r="D56" s="559"/>
      <c r="E56" s="546"/>
      <c r="F56" s="559"/>
      <c r="G56" s="546"/>
      <c r="H56" s="546"/>
      <c r="I56" s="546"/>
      <c r="J56" s="546"/>
      <c r="K56" s="546"/>
      <c r="L56" s="546"/>
    </row>
    <row r="57" spans="1:12" ht="17.25" customHeight="1" x14ac:dyDescent="0.25">
      <c r="A57" s="544"/>
      <c r="B57" s="555" t="s">
        <v>439</v>
      </c>
      <c r="C57" s="1051" t="s">
        <v>278</v>
      </c>
      <c r="D57" s="1049"/>
      <c r="E57" s="1049"/>
      <c r="F57" s="1049"/>
      <c r="G57" s="1049"/>
      <c r="H57" s="1049"/>
      <c r="I57" s="1049"/>
      <c r="J57" s="1049"/>
      <c r="K57" s="1049"/>
      <c r="L57" s="1050"/>
    </row>
    <row r="58" spans="1:12" ht="17.100000000000001" customHeight="1" thickBot="1" x14ac:dyDescent="0.3">
      <c r="B58" s="556" t="s">
        <v>100</v>
      </c>
      <c r="C58" s="1055" t="s">
        <v>440</v>
      </c>
      <c r="D58" s="1056"/>
      <c r="E58" s="1056"/>
      <c r="F58" s="1056"/>
      <c r="G58" s="1056"/>
      <c r="H58" s="1056"/>
      <c r="I58" s="1056"/>
      <c r="J58" s="1056"/>
      <c r="K58" s="1056"/>
      <c r="L58" s="554" t="s">
        <v>441</v>
      </c>
    </row>
    <row r="59" spans="1:12" ht="4.5" customHeight="1" thickBot="1" x14ac:dyDescent="0.3">
      <c r="B59" s="547"/>
      <c r="C59" s="548"/>
      <c r="D59" s="548"/>
      <c r="E59" s="548"/>
      <c r="F59" s="548"/>
      <c r="G59" s="548"/>
      <c r="H59" s="548"/>
      <c r="I59" s="548"/>
      <c r="J59" s="548"/>
      <c r="K59" s="548"/>
      <c r="L59" s="548"/>
    </row>
    <row r="60" spans="1:12" ht="33.950000000000003" customHeight="1" x14ac:dyDescent="0.25">
      <c r="B60" s="574" t="s">
        <v>665</v>
      </c>
      <c r="C60" s="1048" t="s">
        <v>333</v>
      </c>
      <c r="D60" s="1049"/>
      <c r="E60" s="1049"/>
      <c r="F60" s="1049"/>
      <c r="G60" s="1049"/>
      <c r="H60" s="1049"/>
      <c r="I60" s="1049"/>
      <c r="J60" s="1049"/>
      <c r="K60" s="1049"/>
      <c r="L60" s="1050"/>
    </row>
    <row r="61" spans="1:12" ht="51" customHeight="1" x14ac:dyDescent="0.25">
      <c r="B61" s="569" t="s">
        <v>2</v>
      </c>
      <c r="C61" s="578" t="s">
        <v>101</v>
      </c>
      <c r="D61" s="579" t="s">
        <v>165</v>
      </c>
      <c r="E61" s="580" t="s">
        <v>60</v>
      </c>
      <c r="F61" s="579" t="s">
        <v>165</v>
      </c>
      <c r="G61" s="580" t="s">
        <v>61</v>
      </c>
      <c r="H61" s="581" t="s">
        <v>165</v>
      </c>
      <c r="I61" s="580" t="s">
        <v>18</v>
      </c>
      <c r="J61" s="581"/>
      <c r="K61" s="580"/>
      <c r="L61" s="552"/>
    </row>
    <row r="62" spans="1:12" ht="17.100000000000001" customHeight="1" x14ac:dyDescent="0.25">
      <c r="B62" s="564"/>
      <c r="C62" s="565">
        <f>'Ausgabe Mengenbilanzen'!C9+'Ausgabe Mengenbilanzen'!C11</f>
        <v>9.5708362499999993</v>
      </c>
      <c r="D62" s="566"/>
      <c r="E62" s="567">
        <f>'Eingabe Annahmen'!E51</f>
        <v>2.5</v>
      </c>
      <c r="F62" s="566"/>
      <c r="G62" s="567">
        <f>'Eingabe Annahmen'!E52</f>
        <v>0.9</v>
      </c>
      <c r="H62" s="576"/>
      <c r="I62" s="567">
        <f>'Eingabe Eckdaten'!L19</f>
        <v>0.4</v>
      </c>
      <c r="J62" s="576"/>
      <c r="K62" s="567"/>
      <c r="L62" s="568">
        <f>C62*E62*G62*I62</f>
        <v>8.6137526250000001</v>
      </c>
    </row>
    <row r="63" spans="1:12" ht="51" customHeight="1" x14ac:dyDescent="0.25">
      <c r="B63" s="569" t="s">
        <v>232</v>
      </c>
      <c r="C63" s="570" t="s">
        <v>760</v>
      </c>
      <c r="D63" s="571" t="s">
        <v>165</v>
      </c>
      <c r="E63" s="572" t="s">
        <v>32</v>
      </c>
      <c r="F63" s="571" t="s">
        <v>165</v>
      </c>
      <c r="G63" s="572" t="s">
        <v>33</v>
      </c>
      <c r="H63" s="575" t="s">
        <v>165</v>
      </c>
      <c r="I63" s="572" t="s">
        <v>18</v>
      </c>
      <c r="J63" s="575"/>
      <c r="K63" s="572"/>
      <c r="L63" s="569"/>
    </row>
    <row r="64" spans="1:12" ht="17.100000000000001" customHeight="1" x14ac:dyDescent="0.25">
      <c r="B64" s="564"/>
      <c r="C64" s="565">
        <f>'Ausgabe Mengenbilanzen'!D9+'Ausgabe Mengenbilanzen'!D11</f>
        <v>8.2146310499999995</v>
      </c>
      <c r="D64" s="566"/>
      <c r="E64" s="567">
        <f>'Eingabe Annahmen'!E51</f>
        <v>2.5</v>
      </c>
      <c r="F64" s="566"/>
      <c r="G64" s="567">
        <f>'Eingabe Annahmen'!E53</f>
        <v>0.1</v>
      </c>
      <c r="H64" s="576"/>
      <c r="I64" s="567">
        <f>'Eingabe Eckdaten'!L19</f>
        <v>0.4</v>
      </c>
      <c r="J64" s="576"/>
      <c r="K64" s="567"/>
      <c r="L64" s="568">
        <f>C64*E64*G64*I64</f>
        <v>0.82146310499999997</v>
      </c>
    </row>
    <row r="65" spans="2:12" ht="51" customHeight="1" x14ac:dyDescent="0.25">
      <c r="B65" s="569" t="s">
        <v>58</v>
      </c>
      <c r="C65" s="570" t="s">
        <v>59</v>
      </c>
      <c r="D65" s="571" t="s">
        <v>165</v>
      </c>
      <c r="E65" s="572" t="s">
        <v>806</v>
      </c>
      <c r="F65" s="571" t="s">
        <v>165</v>
      </c>
      <c r="G65" s="572" t="s">
        <v>78</v>
      </c>
      <c r="H65" s="575" t="s">
        <v>165</v>
      </c>
      <c r="I65" s="572" t="s">
        <v>61</v>
      </c>
      <c r="J65" s="575" t="s">
        <v>165</v>
      </c>
      <c r="K65" s="572" t="s">
        <v>179</v>
      </c>
      <c r="L65" s="552"/>
    </row>
    <row r="66" spans="2:12" ht="17.100000000000001" customHeight="1" x14ac:dyDescent="0.25">
      <c r="B66" s="564"/>
      <c r="C66" s="565">
        <f>'Ausgabe Mengenbilanzen'!C12</f>
        <v>30.686132499999999</v>
      </c>
      <c r="D66" s="566"/>
      <c r="E66" s="567">
        <f>'Eingabe Annahmen'!E46</f>
        <v>2.5</v>
      </c>
      <c r="F66" s="566"/>
      <c r="G66" s="582">
        <f>'Eingabe Annahmen'!$E$49</f>
        <v>0.5</v>
      </c>
      <c r="H66" s="576"/>
      <c r="I66" s="567">
        <f>'Eingabe Annahmen'!E47</f>
        <v>0.7</v>
      </c>
      <c r="J66" s="576"/>
      <c r="K66" s="567">
        <f>'Eingabe Eckdaten'!L20-'Eingabe Eckdaten'!L41</f>
        <v>0.19999999999999996</v>
      </c>
      <c r="L66" s="568">
        <f>C66*E66*G66*I66*K66</f>
        <v>5.3700731874999974</v>
      </c>
    </row>
    <row r="67" spans="2:12" ht="51" customHeight="1" x14ac:dyDescent="0.25">
      <c r="B67" s="569" t="s">
        <v>48</v>
      </c>
      <c r="C67" s="570" t="s">
        <v>761</v>
      </c>
      <c r="D67" s="571" t="s">
        <v>164</v>
      </c>
      <c r="E67" s="572" t="s">
        <v>807</v>
      </c>
      <c r="F67" s="571" t="s">
        <v>165</v>
      </c>
      <c r="G67" s="572" t="s">
        <v>162</v>
      </c>
      <c r="H67" s="575" t="s">
        <v>165</v>
      </c>
      <c r="I67" s="572" t="s">
        <v>163</v>
      </c>
      <c r="J67" s="575" t="s">
        <v>165</v>
      </c>
      <c r="K67" s="572" t="s">
        <v>178</v>
      </c>
      <c r="L67" s="569"/>
    </row>
    <row r="68" spans="2:12" ht="17.100000000000001" customHeight="1" x14ac:dyDescent="0.25">
      <c r="B68" s="564"/>
      <c r="C68" s="565">
        <f>'Ausgabe Mengenbilanzen'!D9+'Ausgabe Mengenbilanzen'!D11</f>
        <v>8.2146310499999995</v>
      </c>
      <c r="D68" s="566"/>
      <c r="E68" s="567">
        <f>'Eingabe Annahmen'!E46</f>
        <v>2.5</v>
      </c>
      <c r="F68" s="566"/>
      <c r="G68" s="582">
        <f>'Eingabe Annahmen'!$E$49</f>
        <v>0.5</v>
      </c>
      <c r="H68" s="576"/>
      <c r="I68" s="567">
        <f>'Eingabe Annahmen'!E48</f>
        <v>0.3</v>
      </c>
      <c r="J68" s="576"/>
      <c r="K68" s="567">
        <f>'Eingabe Eckdaten'!L20-'Eingabe Eckdaten'!L41</f>
        <v>0.19999999999999996</v>
      </c>
      <c r="L68" s="568">
        <f>C68*E68*G68*I68*K68</f>
        <v>0.6160973287499999</v>
      </c>
    </row>
    <row r="69" spans="2:12" ht="51" customHeight="1" x14ac:dyDescent="0.25">
      <c r="B69" s="569" t="s">
        <v>769</v>
      </c>
      <c r="C69" s="570" t="s">
        <v>762</v>
      </c>
      <c r="D69" s="571" t="s">
        <v>75</v>
      </c>
      <c r="E69" s="572" t="s">
        <v>74</v>
      </c>
      <c r="F69" s="577" t="s">
        <v>76</v>
      </c>
      <c r="G69" s="572" t="s">
        <v>855</v>
      </c>
      <c r="H69" s="575" t="s">
        <v>75</v>
      </c>
      <c r="I69" s="572" t="s">
        <v>77</v>
      </c>
      <c r="J69" s="575"/>
      <c r="K69" s="572"/>
      <c r="L69" s="569"/>
    </row>
    <row r="70" spans="2:12" ht="17.100000000000001" customHeight="1" x14ac:dyDescent="0.25">
      <c r="B70" s="564"/>
      <c r="C70" s="565">
        <f>'Ausgabe Mengenbilanzen'!D9</f>
        <v>6.4124999999999996</v>
      </c>
      <c r="D70" s="566"/>
      <c r="E70" s="567">
        <f>'Eingabe Annahmen'!F54</f>
        <v>0.5</v>
      </c>
      <c r="F70" s="566"/>
      <c r="G70" s="567">
        <f>'Ausgabe Mengenbilanzen'!D11</f>
        <v>1.8021310500000001</v>
      </c>
      <c r="H70" s="576"/>
      <c r="I70" s="567">
        <f>'Eingabe Annahmen'!F55</f>
        <v>0.5</v>
      </c>
      <c r="J70" s="576"/>
      <c r="K70" s="567"/>
      <c r="L70" s="568">
        <f>C70*E70+G70*I70</f>
        <v>4.1073155249999997</v>
      </c>
    </row>
    <row r="71" spans="2:12" ht="17.100000000000001" customHeight="1" thickBot="1" x14ac:dyDescent="0.3">
      <c r="B71" s="553" t="s">
        <v>529</v>
      </c>
      <c r="C71" s="561"/>
      <c r="D71" s="547"/>
      <c r="E71" s="562"/>
      <c r="F71" s="547"/>
      <c r="G71" s="562"/>
      <c r="H71" s="562"/>
      <c r="I71" s="562"/>
      <c r="J71" s="562"/>
      <c r="K71" s="562"/>
      <c r="L71" s="563">
        <f>L62+L64+L66+L68+L70</f>
        <v>19.528701771249995</v>
      </c>
    </row>
    <row r="72" spans="2:12" ht="4.5" customHeight="1" thickBot="1" x14ac:dyDescent="0.3">
      <c r="B72" s="547"/>
      <c r="C72" s="548"/>
      <c r="D72" s="548"/>
      <c r="E72" s="548"/>
      <c r="F72" s="548"/>
      <c r="G72" s="548"/>
      <c r="H72" s="548"/>
      <c r="I72" s="548"/>
      <c r="J72" s="548"/>
      <c r="K72" s="548"/>
      <c r="L72" s="548"/>
    </row>
    <row r="73" spans="2:12" ht="33.950000000000003" customHeight="1" x14ac:dyDescent="0.25">
      <c r="B73" s="574" t="s">
        <v>763</v>
      </c>
      <c r="C73" s="1048" t="s">
        <v>333</v>
      </c>
      <c r="D73" s="1049"/>
      <c r="E73" s="1049"/>
      <c r="F73" s="1049"/>
      <c r="G73" s="1049"/>
      <c r="H73" s="1049"/>
      <c r="I73" s="1049"/>
      <c r="J73" s="1049"/>
      <c r="K73" s="1049"/>
      <c r="L73" s="1050"/>
    </row>
    <row r="74" spans="2:12" ht="51" customHeight="1" x14ac:dyDescent="0.25">
      <c r="B74" s="569" t="s">
        <v>14</v>
      </c>
      <c r="C74" s="578" t="s">
        <v>57</v>
      </c>
      <c r="D74" s="579" t="s">
        <v>165</v>
      </c>
      <c r="E74" s="580" t="s">
        <v>143</v>
      </c>
      <c r="F74" s="579" t="s">
        <v>165</v>
      </c>
      <c r="G74" s="580" t="s">
        <v>144</v>
      </c>
      <c r="H74" s="581" t="s">
        <v>165</v>
      </c>
      <c r="I74" s="580" t="s">
        <v>18</v>
      </c>
      <c r="J74" s="581"/>
      <c r="K74" s="580"/>
      <c r="L74" s="552"/>
    </row>
    <row r="75" spans="2:12" ht="17.100000000000001" customHeight="1" x14ac:dyDescent="0.25">
      <c r="B75" s="564"/>
      <c r="C75" s="565">
        <f>'Ausgabe Mengenbilanzen'!C9+'Ausgabe Mengenbilanzen'!C11</f>
        <v>9.5708362499999993</v>
      </c>
      <c r="D75" s="566"/>
      <c r="E75" s="567">
        <f>'Eingabe Annahmen'!E51</f>
        <v>2.5</v>
      </c>
      <c r="F75" s="566"/>
      <c r="G75" s="567">
        <f>'Eingabe Annahmen'!E52</f>
        <v>0.9</v>
      </c>
      <c r="H75" s="576"/>
      <c r="I75" s="567">
        <f>'Eingabe Eckdaten'!L19</f>
        <v>0.4</v>
      </c>
      <c r="J75" s="576"/>
      <c r="K75" s="567"/>
      <c r="L75" s="568">
        <f>C75*E75*G75*I75</f>
        <v>8.6137526250000001</v>
      </c>
    </row>
    <row r="76" spans="2:12" ht="51" customHeight="1" x14ac:dyDescent="0.25">
      <c r="B76" s="569" t="s">
        <v>232</v>
      </c>
      <c r="C76" s="570" t="s">
        <v>711</v>
      </c>
      <c r="D76" s="571" t="s">
        <v>165</v>
      </c>
      <c r="E76" s="572" t="s">
        <v>128</v>
      </c>
      <c r="F76" s="571" t="s">
        <v>165</v>
      </c>
      <c r="G76" s="572" t="s">
        <v>129</v>
      </c>
      <c r="H76" s="575" t="s">
        <v>165</v>
      </c>
      <c r="I76" s="572" t="s">
        <v>18</v>
      </c>
      <c r="J76" s="575"/>
      <c r="K76" s="572"/>
      <c r="L76" s="569"/>
    </row>
    <row r="77" spans="2:12" ht="17.100000000000001" customHeight="1" x14ac:dyDescent="0.25">
      <c r="B77" s="564"/>
      <c r="C77" s="565">
        <f>'Ausgabe Mengenbilanzen'!H9+'Ausgabe Mengenbilanzen'!H11</f>
        <v>7.5679181250000003</v>
      </c>
      <c r="D77" s="566"/>
      <c r="E77" s="567">
        <f>'Eingabe Annahmen'!E51</f>
        <v>2.5</v>
      </c>
      <c r="F77" s="566"/>
      <c r="G77" s="567">
        <f>'Eingabe Annahmen'!E53</f>
        <v>0.1</v>
      </c>
      <c r="H77" s="576"/>
      <c r="I77" s="567">
        <f>'Eingabe Eckdaten'!L19</f>
        <v>0.4</v>
      </c>
      <c r="J77" s="576"/>
      <c r="K77" s="567"/>
      <c r="L77" s="568">
        <f>C77*E77*G77*I77</f>
        <v>0.75679181250000005</v>
      </c>
    </row>
    <row r="78" spans="2:12" ht="51" customHeight="1" x14ac:dyDescent="0.25">
      <c r="B78" s="569" t="s">
        <v>58</v>
      </c>
      <c r="C78" s="570" t="s">
        <v>130</v>
      </c>
      <c r="D78" s="571" t="s">
        <v>165</v>
      </c>
      <c r="E78" s="572" t="s">
        <v>807</v>
      </c>
      <c r="F78" s="571" t="s">
        <v>165</v>
      </c>
      <c r="G78" s="572" t="s">
        <v>131</v>
      </c>
      <c r="H78" s="575" t="s">
        <v>165</v>
      </c>
      <c r="I78" s="572" t="s">
        <v>28</v>
      </c>
      <c r="J78" s="575" t="s">
        <v>165</v>
      </c>
      <c r="K78" s="572" t="s">
        <v>29</v>
      </c>
      <c r="L78" s="552"/>
    </row>
    <row r="79" spans="2:12" ht="17.100000000000001" customHeight="1" x14ac:dyDescent="0.25">
      <c r="B79" s="564"/>
      <c r="C79" s="565">
        <f>'Ausgabe Mengenbilanzen'!C12</f>
        <v>30.686132499999999</v>
      </c>
      <c r="D79" s="566"/>
      <c r="E79" s="567">
        <f>'Eingabe Annahmen'!E46</f>
        <v>2.5</v>
      </c>
      <c r="F79" s="566"/>
      <c r="G79" s="582">
        <f>'Eingabe Annahmen'!$E$49</f>
        <v>0.5</v>
      </c>
      <c r="H79" s="576"/>
      <c r="I79" s="567">
        <f>'Eingabe Annahmen'!E47</f>
        <v>0.7</v>
      </c>
      <c r="J79" s="576"/>
      <c r="K79" s="567">
        <f>'Eingabe Eckdaten'!L20-'Eingabe Eckdaten'!L41</f>
        <v>0.19999999999999996</v>
      </c>
      <c r="L79" s="568">
        <f>C79*E79*G79*I79*K79</f>
        <v>5.3700731874999974</v>
      </c>
    </row>
    <row r="80" spans="2:12" ht="51" customHeight="1" x14ac:dyDescent="0.25">
      <c r="B80" s="569" t="s">
        <v>48</v>
      </c>
      <c r="C80" s="570" t="s">
        <v>712</v>
      </c>
      <c r="D80" s="571" t="s">
        <v>164</v>
      </c>
      <c r="E80" s="572" t="s">
        <v>807</v>
      </c>
      <c r="F80" s="571" t="s">
        <v>165</v>
      </c>
      <c r="G80" s="572" t="s">
        <v>24</v>
      </c>
      <c r="H80" s="575" t="s">
        <v>165</v>
      </c>
      <c r="I80" s="572" t="s">
        <v>69</v>
      </c>
      <c r="J80" s="575" t="s">
        <v>165</v>
      </c>
      <c r="K80" s="572" t="s">
        <v>29</v>
      </c>
      <c r="L80" s="569"/>
    </row>
    <row r="81" spans="2:12" ht="17.100000000000001" customHeight="1" x14ac:dyDescent="0.25">
      <c r="B81" s="564"/>
      <c r="C81" s="565">
        <f>'Ausgabe Mengenbilanzen'!H9+'Ausgabe Mengenbilanzen'!H11</f>
        <v>7.5679181250000003</v>
      </c>
      <c r="D81" s="566"/>
      <c r="E81" s="567">
        <f>'Eingabe Annahmen'!E46</f>
        <v>2.5</v>
      </c>
      <c r="F81" s="566"/>
      <c r="G81" s="582">
        <f>'Eingabe Annahmen'!$E$49</f>
        <v>0.5</v>
      </c>
      <c r="H81" s="576"/>
      <c r="I81" s="567">
        <f>'Eingabe Annahmen'!E48</f>
        <v>0.3</v>
      </c>
      <c r="J81" s="576"/>
      <c r="K81" s="567">
        <f>'Eingabe Eckdaten'!L20-'Eingabe Eckdaten'!L41</f>
        <v>0.19999999999999996</v>
      </c>
      <c r="L81" s="568">
        <f>C81*E81*G81*I81*K81</f>
        <v>0.56759385937499984</v>
      </c>
    </row>
    <row r="82" spans="2:12" ht="51" customHeight="1" x14ac:dyDescent="0.25">
      <c r="B82" s="569" t="s">
        <v>769</v>
      </c>
      <c r="C82" s="570" t="s">
        <v>812</v>
      </c>
      <c r="D82" s="571" t="s">
        <v>75</v>
      </c>
      <c r="E82" s="572" t="s">
        <v>27</v>
      </c>
      <c r="F82" s="577" t="s">
        <v>76</v>
      </c>
      <c r="G82" s="572" t="s">
        <v>813</v>
      </c>
      <c r="H82" s="575" t="s">
        <v>75</v>
      </c>
      <c r="I82" s="572" t="s">
        <v>27</v>
      </c>
      <c r="J82" s="575"/>
      <c r="K82" s="572"/>
      <c r="L82" s="569"/>
    </row>
    <row r="83" spans="2:12" ht="17.100000000000001" customHeight="1" x14ac:dyDescent="0.25">
      <c r="B83" s="564"/>
      <c r="C83" s="583">
        <f>'Ausgabe Mengenbilanzen'!H9</f>
        <v>5.5350000000000001</v>
      </c>
      <c r="D83" s="584"/>
      <c r="E83" s="582">
        <f>'Eingabe Annahmen'!F54</f>
        <v>0.5</v>
      </c>
      <c r="F83" s="584"/>
      <c r="G83" s="582">
        <f>'Ausgabe Mengenbilanzen'!H11</f>
        <v>2.0329181250000001</v>
      </c>
      <c r="H83" s="576"/>
      <c r="I83" s="567">
        <f>'Eingabe Annahmen'!F55</f>
        <v>0.5</v>
      </c>
      <c r="J83" s="576"/>
      <c r="K83" s="567"/>
      <c r="L83" s="568">
        <f>C83*E83+G83*I83</f>
        <v>3.7839590625000001</v>
      </c>
    </row>
    <row r="84" spans="2:12" ht="17.100000000000001" customHeight="1" thickBot="1" x14ac:dyDescent="0.3">
      <c r="B84" s="553" t="s">
        <v>529</v>
      </c>
      <c r="C84" s="561"/>
      <c r="D84" s="547"/>
      <c r="E84" s="562"/>
      <c r="F84" s="547"/>
      <c r="G84" s="562"/>
      <c r="H84" s="562"/>
      <c r="I84" s="562"/>
      <c r="J84" s="562"/>
      <c r="K84" s="562"/>
      <c r="L84" s="563">
        <f>L75+L77+L79+L81+L83</f>
        <v>19.092170546874996</v>
      </c>
    </row>
    <row r="85" spans="2:12" ht="3.95" customHeight="1" x14ac:dyDescent="0.25">
      <c r="B85" s="645"/>
      <c r="C85" s="544"/>
      <c r="D85" s="548"/>
      <c r="E85" s="544"/>
      <c r="F85" s="548"/>
      <c r="G85" s="544"/>
      <c r="H85" s="544"/>
      <c r="I85" s="544"/>
      <c r="J85" s="544"/>
      <c r="K85" s="544"/>
      <c r="L85" s="586"/>
    </row>
    <row r="86" spans="2:12" ht="3.95" customHeight="1" thickBot="1" x14ac:dyDescent="0.3">
      <c r="B86" s="644"/>
      <c r="C86" s="644"/>
      <c r="D86" s="646"/>
      <c r="E86" s="644"/>
      <c r="F86" s="646"/>
      <c r="G86" s="644"/>
      <c r="H86" s="644"/>
      <c r="I86" s="644"/>
      <c r="J86" s="644"/>
      <c r="K86" s="644"/>
      <c r="L86" s="647"/>
    </row>
    <row r="87" spans="2:12" ht="33.950000000000003" customHeight="1" x14ac:dyDescent="0.25">
      <c r="B87" s="574" t="s">
        <v>814</v>
      </c>
      <c r="C87" s="1052" t="s">
        <v>836</v>
      </c>
      <c r="D87" s="1053"/>
      <c r="E87" s="1053"/>
      <c r="F87" s="1053"/>
      <c r="G87" s="1053"/>
      <c r="H87" s="1053"/>
      <c r="I87" s="1053"/>
      <c r="J87" s="1053"/>
      <c r="K87" s="1053"/>
      <c r="L87" s="1054"/>
    </row>
    <row r="88" spans="2:12" ht="51" customHeight="1" x14ac:dyDescent="0.25">
      <c r="B88" s="569" t="s">
        <v>14</v>
      </c>
      <c r="C88" s="578" t="s">
        <v>494</v>
      </c>
      <c r="D88" s="579" t="s">
        <v>164</v>
      </c>
      <c r="E88" s="580" t="s">
        <v>387</v>
      </c>
      <c r="F88" s="579" t="s">
        <v>164</v>
      </c>
      <c r="G88" s="580" t="s">
        <v>386</v>
      </c>
      <c r="H88" s="581" t="s">
        <v>164</v>
      </c>
      <c r="I88" s="580" t="s">
        <v>495</v>
      </c>
      <c r="J88" s="581"/>
      <c r="K88" s="580"/>
      <c r="L88" s="552"/>
    </row>
    <row r="89" spans="2:12" ht="17.100000000000001" customHeight="1" x14ac:dyDescent="0.25">
      <c r="B89" s="564"/>
      <c r="C89" s="583">
        <f>'Ausgabe Mengenbilanzen'!C9+'Ausgabe Mengenbilanzen'!C11</f>
        <v>9.5708362499999993</v>
      </c>
      <c r="D89" s="584"/>
      <c r="E89" s="582">
        <f>'Eingabe Annahmen'!E51</f>
        <v>2.5</v>
      </c>
      <c r="F89" s="584"/>
      <c r="G89" s="582">
        <f>'Eingabe Annahmen'!E52</f>
        <v>0.9</v>
      </c>
      <c r="H89" s="576"/>
      <c r="I89" s="582">
        <f>'Eingabe Eckdaten'!L19</f>
        <v>0.4</v>
      </c>
      <c r="J89" s="576"/>
      <c r="K89" s="582"/>
      <c r="L89" s="568">
        <f>C89*E89*G89*I89</f>
        <v>8.6137526250000001</v>
      </c>
    </row>
    <row r="90" spans="2:12" ht="51" customHeight="1" x14ac:dyDescent="0.25">
      <c r="B90" s="569" t="s">
        <v>232</v>
      </c>
      <c r="C90" s="570" t="s">
        <v>815</v>
      </c>
      <c r="D90" s="571" t="s">
        <v>164</v>
      </c>
      <c r="E90" s="572" t="s">
        <v>811</v>
      </c>
      <c r="F90" s="571" t="s">
        <v>164</v>
      </c>
      <c r="G90" s="572" t="s">
        <v>852</v>
      </c>
      <c r="H90" s="575" t="s">
        <v>164</v>
      </c>
      <c r="I90" s="572" t="s">
        <v>851</v>
      </c>
      <c r="J90" s="575"/>
      <c r="K90" s="572"/>
      <c r="L90" s="569"/>
    </row>
    <row r="91" spans="2:12" ht="17.100000000000001" customHeight="1" x14ac:dyDescent="0.25">
      <c r="B91" s="564"/>
      <c r="C91" s="583">
        <f>'Ausgabe Mengenbilanzen'!E9</f>
        <v>12.9</v>
      </c>
      <c r="D91" s="584"/>
      <c r="E91" s="582">
        <f>'Eingabe Annahmen'!E51</f>
        <v>2.5</v>
      </c>
      <c r="F91" s="584"/>
      <c r="G91" s="582">
        <f>'Eingabe Annahmen'!E53</f>
        <v>0.1</v>
      </c>
      <c r="H91" s="576"/>
      <c r="I91" s="582">
        <f>'Eingabe Eckdaten'!L19</f>
        <v>0.4</v>
      </c>
      <c r="J91" s="576"/>
      <c r="K91" s="582"/>
      <c r="L91" s="568">
        <f>C91*E91*G91*I91</f>
        <v>1.29</v>
      </c>
    </row>
    <row r="92" spans="2:12" ht="51" customHeight="1" x14ac:dyDescent="0.25">
      <c r="B92" s="569" t="s">
        <v>58</v>
      </c>
      <c r="C92" s="570" t="s">
        <v>686</v>
      </c>
      <c r="D92" s="571" t="s">
        <v>164</v>
      </c>
      <c r="E92" s="572" t="s">
        <v>807</v>
      </c>
      <c r="F92" s="571" t="s">
        <v>164</v>
      </c>
      <c r="G92" s="572" t="s">
        <v>492</v>
      </c>
      <c r="H92" s="575" t="s">
        <v>164</v>
      </c>
      <c r="I92" s="572" t="s">
        <v>493</v>
      </c>
      <c r="J92" s="575" t="s">
        <v>164</v>
      </c>
      <c r="K92" s="572" t="s">
        <v>777</v>
      </c>
      <c r="L92" s="552"/>
    </row>
    <row r="93" spans="2:12" ht="17.100000000000001" customHeight="1" x14ac:dyDescent="0.25">
      <c r="B93" s="564"/>
      <c r="C93" s="583">
        <f>'Ausgabe Mengenbilanzen'!C12</f>
        <v>30.686132499999999</v>
      </c>
      <c r="D93" s="584"/>
      <c r="E93" s="582">
        <f>'Eingabe Annahmen'!E46</f>
        <v>2.5</v>
      </c>
      <c r="F93" s="584"/>
      <c r="G93" s="582">
        <f>'Eingabe Annahmen'!$E$49</f>
        <v>0.5</v>
      </c>
      <c r="H93" s="576"/>
      <c r="I93" s="582">
        <f>'Eingabe Annahmen'!E47</f>
        <v>0.7</v>
      </c>
      <c r="J93" s="576"/>
      <c r="K93" s="582">
        <f>'Eingabe Eckdaten'!L20</f>
        <v>0.6</v>
      </c>
      <c r="L93" s="568">
        <f>C93*E93*G93*I93*K93</f>
        <v>16.110219562499996</v>
      </c>
    </row>
    <row r="94" spans="2:12" ht="51" customHeight="1" x14ac:dyDescent="0.25">
      <c r="B94" s="569" t="s">
        <v>48</v>
      </c>
      <c r="C94" s="570" t="s">
        <v>816</v>
      </c>
      <c r="D94" s="571" t="s">
        <v>164</v>
      </c>
      <c r="E94" s="572" t="s">
        <v>807</v>
      </c>
      <c r="F94" s="571" t="s">
        <v>164</v>
      </c>
      <c r="G94" s="572" t="s">
        <v>778</v>
      </c>
      <c r="H94" s="575" t="s">
        <v>164</v>
      </c>
      <c r="I94" s="572" t="s">
        <v>779</v>
      </c>
      <c r="J94" s="575" t="s">
        <v>164</v>
      </c>
      <c r="K94" s="572" t="s">
        <v>780</v>
      </c>
      <c r="L94" s="569"/>
    </row>
    <row r="95" spans="2:12" ht="17.100000000000001" customHeight="1" x14ac:dyDescent="0.25">
      <c r="B95" s="564"/>
      <c r="C95" s="583">
        <f>'Ausgabe Mengenbilanzen'!E9</f>
        <v>12.9</v>
      </c>
      <c r="D95" s="584"/>
      <c r="E95" s="582">
        <f>'Eingabe Annahmen'!E46</f>
        <v>2.5</v>
      </c>
      <c r="F95" s="584"/>
      <c r="G95" s="582">
        <f>'Eingabe Annahmen'!$E$49</f>
        <v>0.5</v>
      </c>
      <c r="H95" s="576"/>
      <c r="I95" s="582">
        <f>'Eingabe Annahmen'!E48</f>
        <v>0.3</v>
      </c>
      <c r="J95" s="576"/>
      <c r="K95" s="582">
        <f>'Eingabe Eckdaten'!L20</f>
        <v>0.6</v>
      </c>
      <c r="L95" s="568">
        <f>C95*E95*G95*I95*K95</f>
        <v>2.9024999999999994</v>
      </c>
    </row>
    <row r="96" spans="2:12" ht="51" customHeight="1" x14ac:dyDescent="0.25">
      <c r="B96" s="569" t="s">
        <v>769</v>
      </c>
      <c r="C96" s="570" t="s">
        <v>815</v>
      </c>
      <c r="D96" s="571" t="s">
        <v>164</v>
      </c>
      <c r="E96" s="572" t="s">
        <v>383</v>
      </c>
      <c r="F96" s="577"/>
      <c r="G96" s="572"/>
      <c r="H96" s="575"/>
      <c r="I96" s="572"/>
      <c r="J96" s="575"/>
      <c r="K96" s="572"/>
      <c r="L96" s="569"/>
    </row>
    <row r="97" spans="2:12" ht="17.100000000000001" customHeight="1" x14ac:dyDescent="0.25">
      <c r="B97" s="564"/>
      <c r="C97" s="583">
        <f>'Ausgabe Mengenbilanzen'!E9</f>
        <v>12.9</v>
      </c>
      <c r="D97" s="584"/>
      <c r="E97" s="582">
        <f>'Eingabe Annahmen'!G54</f>
        <v>0.5</v>
      </c>
      <c r="F97" s="584"/>
      <c r="G97" s="582"/>
      <c r="H97" s="576"/>
      <c r="I97" s="582"/>
      <c r="J97" s="576"/>
      <c r="K97" s="582"/>
      <c r="L97" s="568">
        <f>C97*E97</f>
        <v>6.45</v>
      </c>
    </row>
    <row r="98" spans="2:12" ht="17.100000000000001" customHeight="1" thickBot="1" x14ac:dyDescent="0.3">
      <c r="B98" s="573" t="s">
        <v>529</v>
      </c>
      <c r="C98" s="561"/>
      <c r="D98" s="547"/>
      <c r="E98" s="562"/>
      <c r="F98" s="547"/>
      <c r="G98" s="562"/>
      <c r="H98" s="562"/>
      <c r="I98" s="562"/>
      <c r="J98" s="562"/>
      <c r="K98" s="562"/>
      <c r="L98" s="563">
        <v>35.4</v>
      </c>
    </row>
    <row r="99" spans="2:12" ht="3.95" customHeight="1" thickBot="1" x14ac:dyDescent="0.3">
      <c r="B99" s="544"/>
      <c r="C99" s="544"/>
      <c r="D99" s="548"/>
      <c r="E99" s="544"/>
      <c r="F99" s="548"/>
      <c r="G99" s="544"/>
      <c r="H99" s="544"/>
      <c r="I99" s="544"/>
      <c r="J99" s="544"/>
      <c r="K99" s="544"/>
      <c r="L99" s="586"/>
    </row>
    <row r="100" spans="2:12" ht="33.950000000000003" customHeight="1" x14ac:dyDescent="0.25">
      <c r="B100" s="648" t="s">
        <v>756</v>
      </c>
      <c r="C100" s="1048" t="s">
        <v>836</v>
      </c>
      <c r="D100" s="1049"/>
      <c r="E100" s="1049"/>
      <c r="F100" s="1049"/>
      <c r="G100" s="1049"/>
      <c r="H100" s="1049"/>
      <c r="I100" s="1049"/>
      <c r="J100" s="1049"/>
      <c r="K100" s="1049"/>
      <c r="L100" s="1050"/>
    </row>
    <row r="101" spans="2:12" ht="51" customHeight="1" x14ac:dyDescent="0.25">
      <c r="B101" s="569" t="s">
        <v>14</v>
      </c>
      <c r="C101" s="578" t="s">
        <v>550</v>
      </c>
      <c r="D101" s="579" t="s">
        <v>164</v>
      </c>
      <c r="E101" s="580" t="s">
        <v>551</v>
      </c>
      <c r="F101" s="579" t="s">
        <v>164</v>
      </c>
      <c r="G101" s="580" t="s">
        <v>493</v>
      </c>
      <c r="H101" s="581" t="s">
        <v>164</v>
      </c>
      <c r="I101" s="580" t="s">
        <v>851</v>
      </c>
      <c r="J101" s="581"/>
      <c r="K101" s="580"/>
      <c r="L101" s="552"/>
    </row>
    <row r="102" spans="2:12" ht="17.100000000000001" customHeight="1" x14ac:dyDescent="0.25">
      <c r="B102" s="564"/>
      <c r="C102" s="583">
        <f>'Ausgabe Mengenbilanzen'!C9+'Ausgabe Mengenbilanzen'!C11</f>
        <v>9.5708362499999993</v>
      </c>
      <c r="D102" s="584"/>
      <c r="E102" s="582">
        <f>'Eingabe Annahmen'!E51</f>
        <v>2.5</v>
      </c>
      <c r="F102" s="584"/>
      <c r="G102" s="582">
        <f>'Eingabe Annahmen'!E52</f>
        <v>0.9</v>
      </c>
      <c r="H102" s="576"/>
      <c r="I102" s="582">
        <f>'Eingabe Eckdaten'!L19</f>
        <v>0.4</v>
      </c>
      <c r="J102" s="576"/>
      <c r="K102" s="582"/>
      <c r="L102" s="568">
        <f>C102*E102*G102*I102</f>
        <v>8.6137526250000001</v>
      </c>
    </row>
    <row r="103" spans="2:12" ht="51" customHeight="1" x14ac:dyDescent="0.25">
      <c r="B103" s="569" t="s">
        <v>232</v>
      </c>
      <c r="C103" s="570" t="s">
        <v>757</v>
      </c>
      <c r="D103" s="571" t="s">
        <v>164</v>
      </c>
      <c r="E103" s="572" t="s">
        <v>551</v>
      </c>
      <c r="F103" s="571" t="s">
        <v>164</v>
      </c>
      <c r="G103" s="572" t="s">
        <v>779</v>
      </c>
      <c r="H103" s="575" t="s">
        <v>164</v>
      </c>
      <c r="I103" s="572" t="s">
        <v>764</v>
      </c>
      <c r="J103" s="575"/>
      <c r="K103" s="572"/>
      <c r="L103" s="569"/>
    </row>
    <row r="104" spans="2:12" ht="17.100000000000001" customHeight="1" x14ac:dyDescent="0.25">
      <c r="B104" s="564"/>
      <c r="C104" s="583">
        <f>'Ausgabe Mengenbilanzen'!I9</f>
        <v>11.1</v>
      </c>
      <c r="D104" s="584"/>
      <c r="E104" s="582">
        <f>'Eingabe Annahmen'!E51</f>
        <v>2.5</v>
      </c>
      <c r="F104" s="584"/>
      <c r="G104" s="582">
        <f>'Eingabe Annahmen'!E53</f>
        <v>0.1</v>
      </c>
      <c r="H104" s="576"/>
      <c r="I104" s="582">
        <f>'Eingabe Eckdaten'!L19</f>
        <v>0.4</v>
      </c>
      <c r="J104" s="576"/>
      <c r="K104" s="582"/>
      <c r="L104" s="568">
        <f>C104*E104*G104*I104</f>
        <v>1.1100000000000001</v>
      </c>
    </row>
    <row r="105" spans="2:12" ht="51" customHeight="1" x14ac:dyDescent="0.25">
      <c r="B105" s="569" t="s">
        <v>58</v>
      </c>
      <c r="C105" s="570" t="s">
        <v>765</v>
      </c>
      <c r="D105" s="571" t="s">
        <v>164</v>
      </c>
      <c r="E105" s="572" t="s">
        <v>807</v>
      </c>
      <c r="F105" s="571" t="s">
        <v>164</v>
      </c>
      <c r="G105" s="572" t="s">
        <v>766</v>
      </c>
      <c r="H105" s="575" t="s">
        <v>164</v>
      </c>
      <c r="I105" s="572" t="s">
        <v>493</v>
      </c>
      <c r="J105" s="575" t="s">
        <v>164</v>
      </c>
      <c r="K105" s="572" t="s">
        <v>805</v>
      </c>
      <c r="L105" s="552"/>
    </row>
    <row r="106" spans="2:12" ht="17.100000000000001" customHeight="1" x14ac:dyDescent="0.25">
      <c r="B106" s="564"/>
      <c r="C106" s="583">
        <f>'Ausgabe Mengenbilanzen'!C12</f>
        <v>30.686132499999999</v>
      </c>
      <c r="D106" s="584"/>
      <c r="E106" s="582">
        <f>'Eingabe Annahmen'!E46</f>
        <v>2.5</v>
      </c>
      <c r="F106" s="584"/>
      <c r="G106" s="582">
        <f>'Eingabe Annahmen'!$E$49</f>
        <v>0.5</v>
      </c>
      <c r="H106" s="576"/>
      <c r="I106" s="582">
        <f>'Eingabe Annahmen'!E47</f>
        <v>0.7</v>
      </c>
      <c r="J106" s="576"/>
      <c r="K106" s="582">
        <f>'Eingabe Eckdaten'!L20</f>
        <v>0.6</v>
      </c>
      <c r="L106" s="568">
        <f>C106*E106*G106*I106*K106</f>
        <v>16.110219562499996</v>
      </c>
    </row>
    <row r="107" spans="2:12" ht="51" customHeight="1" x14ac:dyDescent="0.25">
      <c r="B107" s="569" t="s">
        <v>48</v>
      </c>
      <c r="C107" s="570" t="s">
        <v>757</v>
      </c>
      <c r="D107" s="571" t="s">
        <v>164</v>
      </c>
      <c r="E107" s="572" t="s">
        <v>807</v>
      </c>
      <c r="F107" s="571" t="s">
        <v>164</v>
      </c>
      <c r="G107" s="572" t="s">
        <v>778</v>
      </c>
      <c r="H107" s="575" t="s">
        <v>164</v>
      </c>
      <c r="I107" s="572" t="s">
        <v>776</v>
      </c>
      <c r="J107" s="575" t="s">
        <v>164</v>
      </c>
      <c r="K107" s="572" t="s">
        <v>805</v>
      </c>
      <c r="L107" s="569"/>
    </row>
    <row r="108" spans="2:12" ht="17.100000000000001" customHeight="1" x14ac:dyDescent="0.25">
      <c r="B108" s="564"/>
      <c r="C108" s="583">
        <f>'Ausgabe Mengenbilanzen'!I9</f>
        <v>11.1</v>
      </c>
      <c r="D108" s="584"/>
      <c r="E108" s="582">
        <f>'Eingabe Annahmen'!E46</f>
        <v>2.5</v>
      </c>
      <c r="F108" s="584"/>
      <c r="G108" s="582">
        <f>'Eingabe Annahmen'!$E$49</f>
        <v>0.5</v>
      </c>
      <c r="H108" s="576"/>
      <c r="I108" s="582">
        <f>'Eingabe Annahmen'!E48</f>
        <v>0.3</v>
      </c>
      <c r="J108" s="576"/>
      <c r="K108" s="582">
        <f>'Eingabe Eckdaten'!L20</f>
        <v>0.6</v>
      </c>
      <c r="L108" s="568">
        <f>C108*E108*G108*I108*K108</f>
        <v>2.4974999999999996</v>
      </c>
    </row>
    <row r="109" spans="2:12" ht="51" customHeight="1" x14ac:dyDescent="0.25">
      <c r="B109" s="569" t="s">
        <v>769</v>
      </c>
      <c r="C109" s="570" t="s">
        <v>757</v>
      </c>
      <c r="D109" s="571" t="s">
        <v>164</v>
      </c>
      <c r="E109" s="572" t="s">
        <v>227</v>
      </c>
      <c r="F109" s="577"/>
      <c r="G109" s="572"/>
      <c r="H109" s="575"/>
      <c r="I109" s="572"/>
      <c r="J109" s="575"/>
      <c r="K109" s="572"/>
      <c r="L109" s="569"/>
    </row>
    <row r="110" spans="2:12" ht="17.100000000000001" customHeight="1" x14ac:dyDescent="0.25">
      <c r="B110" s="564"/>
      <c r="C110" s="583">
        <f>'Ausgabe Mengenbilanzen'!I9</f>
        <v>11.1</v>
      </c>
      <c r="D110" s="584"/>
      <c r="E110" s="582">
        <f>'Eingabe Annahmen'!G54</f>
        <v>0.5</v>
      </c>
      <c r="F110" s="584"/>
      <c r="G110" s="582"/>
      <c r="H110" s="576"/>
      <c r="I110" s="582"/>
      <c r="J110" s="576"/>
      <c r="K110" s="582"/>
      <c r="L110" s="568">
        <f>C110*E110</f>
        <v>5.55</v>
      </c>
    </row>
    <row r="111" spans="2:12" ht="17.100000000000001" customHeight="1" thickBot="1" x14ac:dyDescent="0.3">
      <c r="B111" s="573" t="s">
        <v>529</v>
      </c>
      <c r="C111" s="561"/>
      <c r="D111" s="547"/>
      <c r="E111" s="562"/>
      <c r="F111" s="547"/>
      <c r="G111" s="562"/>
      <c r="H111" s="562"/>
      <c r="I111" s="562"/>
      <c r="J111" s="562"/>
      <c r="K111" s="562"/>
      <c r="L111" s="563">
        <f>L102+L104+L106+L108+L110</f>
        <v>33.881472187499995</v>
      </c>
    </row>
    <row r="112" spans="2:12" ht="3.95" customHeight="1" x14ac:dyDescent="0.25">
      <c r="B112" s="544"/>
      <c r="C112" s="544"/>
      <c r="D112" s="548"/>
      <c r="E112" s="544"/>
      <c r="F112" s="548"/>
      <c r="G112" s="544"/>
      <c r="H112" s="544"/>
      <c r="I112" s="544"/>
      <c r="J112" s="544"/>
      <c r="K112" s="544"/>
      <c r="L112" s="586"/>
    </row>
    <row r="113" spans="1:12" ht="17.100000000000001" customHeight="1" x14ac:dyDescent="0.25">
      <c r="B113" s="551"/>
      <c r="C113" s="546"/>
      <c r="D113" s="559"/>
      <c r="E113" s="546"/>
      <c r="F113" s="559"/>
      <c r="G113" s="546"/>
      <c r="H113" s="546"/>
      <c r="I113" s="546"/>
      <c r="J113" s="546"/>
      <c r="K113" s="546"/>
      <c r="L113" s="546"/>
    </row>
    <row r="114" spans="1:12" ht="17.100000000000001" customHeight="1" x14ac:dyDescent="0.25">
      <c r="B114" s="545" t="s">
        <v>348</v>
      </c>
      <c r="C114" s="546"/>
      <c r="D114" s="559"/>
      <c r="E114" s="546"/>
      <c r="F114" s="559"/>
      <c r="G114" s="546"/>
      <c r="H114" s="546"/>
      <c r="I114" s="546"/>
      <c r="J114" s="546"/>
      <c r="K114" s="546"/>
      <c r="L114" s="546"/>
    </row>
    <row r="115" spans="1:12" ht="3.95" customHeight="1" thickBot="1" x14ac:dyDescent="0.3">
      <c r="B115" s="545"/>
      <c r="C115" s="546"/>
      <c r="D115" s="559"/>
      <c r="E115" s="546"/>
      <c r="F115" s="559"/>
      <c r="G115" s="546"/>
      <c r="H115" s="546"/>
      <c r="I115" s="546"/>
      <c r="J115" s="546"/>
      <c r="K115" s="546"/>
      <c r="L115" s="546"/>
    </row>
    <row r="116" spans="1:12" ht="17.25" customHeight="1" x14ac:dyDescent="0.25">
      <c r="A116" s="544"/>
      <c r="B116" s="555" t="s">
        <v>439</v>
      </c>
      <c r="C116" s="1051" t="s">
        <v>278</v>
      </c>
      <c r="D116" s="1049"/>
      <c r="E116" s="1049"/>
      <c r="F116" s="1049"/>
      <c r="G116" s="1049"/>
      <c r="H116" s="1049"/>
      <c r="I116" s="1049"/>
      <c r="J116" s="1049"/>
      <c r="K116" s="1049"/>
      <c r="L116" s="1050"/>
    </row>
    <row r="117" spans="1:12" ht="17.100000000000001" customHeight="1" thickBot="1" x14ac:dyDescent="0.3">
      <c r="B117" s="556" t="s">
        <v>100</v>
      </c>
      <c r="C117" s="1055" t="s">
        <v>440</v>
      </c>
      <c r="D117" s="1056"/>
      <c r="E117" s="1056"/>
      <c r="F117" s="1056"/>
      <c r="G117" s="1056"/>
      <c r="H117" s="1056"/>
      <c r="I117" s="1056"/>
      <c r="J117" s="1056"/>
      <c r="K117" s="1056"/>
      <c r="L117" s="554" t="s">
        <v>441</v>
      </c>
    </row>
    <row r="118" spans="1:12" ht="3.95" customHeight="1" thickBot="1" x14ac:dyDescent="0.3">
      <c r="B118" s="562"/>
      <c r="C118" s="562"/>
      <c r="D118" s="547"/>
      <c r="E118" s="562"/>
      <c r="F118" s="547"/>
      <c r="G118" s="562"/>
      <c r="H118" s="562"/>
      <c r="I118" s="562"/>
      <c r="J118" s="562"/>
      <c r="K118" s="562"/>
      <c r="L118" s="585"/>
    </row>
    <row r="119" spans="1:12" ht="33.950000000000003" customHeight="1" x14ac:dyDescent="0.25">
      <c r="B119" s="574" t="s">
        <v>758</v>
      </c>
      <c r="C119" s="1048" t="s">
        <v>633</v>
      </c>
      <c r="D119" s="1049"/>
      <c r="E119" s="1049"/>
      <c r="F119" s="1049"/>
      <c r="G119" s="1049"/>
      <c r="H119" s="1049"/>
      <c r="I119" s="1049"/>
      <c r="J119" s="1049"/>
      <c r="K119" s="1049"/>
      <c r="L119" s="1050"/>
    </row>
    <row r="120" spans="1:12" ht="51" customHeight="1" x14ac:dyDescent="0.25">
      <c r="B120" s="569" t="s">
        <v>228</v>
      </c>
      <c r="C120" s="578" t="s">
        <v>759</v>
      </c>
      <c r="D120" s="579" t="s">
        <v>164</v>
      </c>
      <c r="E120" s="580" t="s">
        <v>438</v>
      </c>
      <c r="F120" s="579"/>
      <c r="G120" s="580"/>
      <c r="H120" s="581"/>
      <c r="I120" s="580"/>
      <c r="J120" s="581"/>
      <c r="K120" s="580"/>
      <c r="L120" s="552"/>
    </row>
    <row r="121" spans="1:12" ht="17.100000000000001" customHeight="1" x14ac:dyDescent="0.25">
      <c r="B121" s="564"/>
      <c r="C121" s="583">
        <f>'Ausgabe Mengenbilanzen'!E10</f>
        <v>12.8</v>
      </c>
      <c r="D121" s="584"/>
      <c r="E121" s="597">
        <f>'Eingabe Annahmen'!G57</f>
        <v>1.25</v>
      </c>
      <c r="F121" s="584"/>
      <c r="G121" s="582"/>
      <c r="H121" s="576"/>
      <c r="I121" s="582"/>
      <c r="J121" s="576"/>
      <c r="K121" s="582"/>
      <c r="L121" s="568">
        <f>C121*E121</f>
        <v>16</v>
      </c>
    </row>
    <row r="122" spans="1:12" ht="51" customHeight="1" x14ac:dyDescent="0.25">
      <c r="B122" s="569" t="s">
        <v>826</v>
      </c>
      <c r="C122" s="570" t="s">
        <v>231</v>
      </c>
      <c r="D122" s="571" t="s">
        <v>164</v>
      </c>
      <c r="E122" s="572" t="s">
        <v>738</v>
      </c>
      <c r="F122" s="579" t="s">
        <v>164</v>
      </c>
      <c r="G122" s="580" t="s">
        <v>547</v>
      </c>
      <c r="H122" s="579" t="s">
        <v>164</v>
      </c>
      <c r="I122" s="580" t="s">
        <v>548</v>
      </c>
      <c r="J122" s="579" t="s">
        <v>164</v>
      </c>
      <c r="K122" s="580" t="s">
        <v>549</v>
      </c>
      <c r="L122" s="569"/>
    </row>
    <row r="123" spans="1:12" ht="17.100000000000001" customHeight="1" x14ac:dyDescent="0.25">
      <c r="B123" s="564"/>
      <c r="C123" s="583">
        <f>'Ausgabe Mengenbilanzen'!C12</f>
        <v>30.686132499999999</v>
      </c>
      <c r="D123" s="584"/>
      <c r="E123" s="582">
        <f>'Eingabe Annahmen'!E46</f>
        <v>2.5</v>
      </c>
      <c r="F123" s="584"/>
      <c r="G123" s="582">
        <f>'Eingabe Annahmen'!$E$49</f>
        <v>0.5</v>
      </c>
      <c r="H123" s="584"/>
      <c r="I123" s="582">
        <f>'Eingabe Annahmen'!G47</f>
        <v>0.5</v>
      </c>
      <c r="J123" s="584"/>
      <c r="K123" s="582">
        <f>'Eingabe Eckdaten'!L19</f>
        <v>0.4</v>
      </c>
      <c r="L123" s="568">
        <f>C123*E123*G123*I123*K123</f>
        <v>7.6715331249999998</v>
      </c>
    </row>
    <row r="124" spans="1:12" ht="51" customHeight="1" x14ac:dyDescent="0.25">
      <c r="B124" s="569" t="s">
        <v>827</v>
      </c>
      <c r="C124" s="570" t="s">
        <v>785</v>
      </c>
      <c r="D124" s="571" t="s">
        <v>164</v>
      </c>
      <c r="E124" s="572" t="s">
        <v>738</v>
      </c>
      <c r="F124" s="571" t="s">
        <v>164</v>
      </c>
      <c r="G124" s="572" t="s">
        <v>599</v>
      </c>
      <c r="H124" s="571" t="s">
        <v>164</v>
      </c>
      <c r="I124" s="572" t="s">
        <v>828</v>
      </c>
      <c r="J124" s="571" t="s">
        <v>164</v>
      </c>
      <c r="K124" s="572" t="s">
        <v>353</v>
      </c>
      <c r="L124" s="552"/>
    </row>
    <row r="125" spans="1:12" ht="17.100000000000001" customHeight="1" x14ac:dyDescent="0.25">
      <c r="B125" s="564"/>
      <c r="C125" s="583">
        <f>'Ausgabe Mengenbilanzen'!E10</f>
        <v>12.8</v>
      </c>
      <c r="D125" s="584"/>
      <c r="E125" s="582">
        <f>'Eingabe Annahmen'!E46</f>
        <v>2.5</v>
      </c>
      <c r="F125" s="584"/>
      <c r="G125" s="582">
        <f>'Eingabe Annahmen'!$E$49</f>
        <v>0.5</v>
      </c>
      <c r="H125" s="584"/>
      <c r="I125" s="582">
        <f>'Eingabe Annahmen'!G48</f>
        <v>0.5</v>
      </c>
      <c r="J125" s="584"/>
      <c r="K125" s="582">
        <f>'Eingabe Eckdaten'!L19</f>
        <v>0.4</v>
      </c>
      <c r="L125" s="568">
        <f>C125*E125*G125*I125*K125</f>
        <v>3.2</v>
      </c>
    </row>
    <row r="126" spans="1:12" ht="33" customHeight="1" x14ac:dyDescent="0.25">
      <c r="B126" s="569" t="s">
        <v>226</v>
      </c>
      <c r="C126" s="570" t="s">
        <v>786</v>
      </c>
      <c r="D126" s="571" t="s">
        <v>856</v>
      </c>
      <c r="E126" s="572" t="s">
        <v>782</v>
      </c>
      <c r="F126" s="571" t="s">
        <v>856</v>
      </c>
      <c r="G126" s="572" t="s">
        <v>750</v>
      </c>
      <c r="H126" s="571" t="s">
        <v>856</v>
      </c>
      <c r="I126" s="572" t="s">
        <v>751</v>
      </c>
      <c r="J126" s="571" t="s">
        <v>856</v>
      </c>
      <c r="K126" s="572" t="s">
        <v>752</v>
      </c>
      <c r="L126" s="569"/>
    </row>
    <row r="127" spans="1:12" ht="17.100000000000001" customHeight="1" x14ac:dyDescent="0.25">
      <c r="B127" s="564"/>
      <c r="C127" s="583">
        <f>'Ausgabe Mengenbilanzen'!E10</f>
        <v>12.8</v>
      </c>
      <c r="D127" s="584"/>
      <c r="E127" s="582">
        <f>'Eingabe Annahmen'!E46</f>
        <v>2.5</v>
      </c>
      <c r="F127" s="584"/>
      <c r="G127" s="582">
        <f>'Eingabe Annahmen'!$E$49</f>
        <v>0.5</v>
      </c>
      <c r="H127" s="584"/>
      <c r="I127" s="582">
        <f>'Eingabe Annahmen'!G47</f>
        <v>0.5</v>
      </c>
      <c r="J127" s="584"/>
      <c r="K127" s="582">
        <f>'Eingabe Eckdaten'!L20</f>
        <v>0.6</v>
      </c>
      <c r="L127" s="568">
        <f>C127*E127*G127*I127*K127</f>
        <v>4.8</v>
      </c>
    </row>
    <row r="128" spans="1:12" ht="33" customHeight="1" x14ac:dyDescent="0.25">
      <c r="B128" s="569" t="s">
        <v>635</v>
      </c>
      <c r="C128" s="570" t="s">
        <v>786</v>
      </c>
      <c r="D128" s="571" t="s">
        <v>73</v>
      </c>
      <c r="E128" s="572" t="s">
        <v>782</v>
      </c>
      <c r="F128" s="571" t="s">
        <v>73</v>
      </c>
      <c r="G128" s="572" t="s">
        <v>829</v>
      </c>
      <c r="H128" s="571" t="s">
        <v>73</v>
      </c>
      <c r="I128" s="572" t="s">
        <v>830</v>
      </c>
      <c r="J128" s="571" t="s">
        <v>73</v>
      </c>
      <c r="K128" s="572" t="s">
        <v>781</v>
      </c>
      <c r="L128" s="569"/>
    </row>
    <row r="129" spans="2:12" ht="17.100000000000001" customHeight="1" x14ac:dyDescent="0.25">
      <c r="B129" s="564"/>
      <c r="C129" s="583">
        <f>'Ausgabe Mengenbilanzen'!E10</f>
        <v>12.8</v>
      </c>
      <c r="D129" s="584"/>
      <c r="E129" s="582">
        <f>'Eingabe Annahmen'!E46</f>
        <v>2.5</v>
      </c>
      <c r="F129" s="584"/>
      <c r="G129" s="582">
        <f>'Eingabe Annahmen'!$E$49</f>
        <v>0.5</v>
      </c>
      <c r="H129" s="584"/>
      <c r="I129" s="582">
        <f>'Eingabe Annahmen'!G48</f>
        <v>0.5</v>
      </c>
      <c r="J129" s="584"/>
      <c r="K129" s="582">
        <f>'Eingabe Eckdaten'!L20</f>
        <v>0.6</v>
      </c>
      <c r="L129" s="568">
        <f>C129*E129*G129*I129*K129</f>
        <v>4.8</v>
      </c>
    </row>
    <row r="130" spans="2:12" ht="51" customHeight="1" x14ac:dyDescent="0.25">
      <c r="B130" s="569" t="s">
        <v>56</v>
      </c>
      <c r="C130" s="578" t="s">
        <v>787</v>
      </c>
      <c r="D130" s="579" t="s">
        <v>295</v>
      </c>
      <c r="E130" s="580" t="s">
        <v>55</v>
      </c>
      <c r="F130" s="638"/>
      <c r="G130" s="580"/>
      <c r="H130" s="581"/>
      <c r="I130" s="580"/>
      <c r="J130" s="581"/>
      <c r="K130" s="580"/>
      <c r="L130" s="552"/>
    </row>
    <row r="131" spans="2:12" ht="17.100000000000001" customHeight="1" x14ac:dyDescent="0.25">
      <c r="B131" s="564"/>
      <c r="C131" s="583">
        <f>'Ausgabe Mengenbilanzen'!E8</f>
        <v>10.8</v>
      </c>
      <c r="D131" s="584"/>
      <c r="E131" s="597">
        <f>'Eingabe Annahmen'!G58</f>
        <v>0.75</v>
      </c>
      <c r="F131" s="584"/>
      <c r="G131" s="582"/>
      <c r="H131" s="576"/>
      <c r="I131" s="582"/>
      <c r="J131" s="576"/>
      <c r="K131" s="582"/>
      <c r="L131" s="568">
        <f>C131*E131</f>
        <v>8.1000000000000014</v>
      </c>
    </row>
    <row r="132" spans="2:12" ht="33" customHeight="1" x14ac:dyDescent="0.25">
      <c r="B132" s="569" t="s">
        <v>864</v>
      </c>
      <c r="C132" s="580" t="s">
        <v>863</v>
      </c>
      <c r="D132" s="571"/>
      <c r="E132" s="572"/>
      <c r="F132" s="571"/>
      <c r="G132" s="572"/>
      <c r="H132" s="571"/>
      <c r="I132" s="572"/>
      <c r="J132" s="571"/>
      <c r="K132" s="572"/>
      <c r="L132" s="569"/>
    </row>
    <row r="133" spans="2:12" ht="17.100000000000001" customHeight="1" x14ac:dyDescent="0.25">
      <c r="B133" s="564"/>
      <c r="C133" s="641">
        <f>'Ausgabe Kostenbilanzen'!E31</f>
        <v>12.852</v>
      </c>
      <c r="D133" s="640"/>
      <c r="E133" s="641"/>
      <c r="F133" s="640"/>
      <c r="G133" s="641"/>
      <c r="H133" s="640"/>
      <c r="I133" s="641"/>
      <c r="J133" s="640"/>
      <c r="K133" s="641"/>
      <c r="L133" s="568">
        <f>C133</f>
        <v>12.852</v>
      </c>
    </row>
    <row r="134" spans="2:12" ht="17.100000000000001" customHeight="1" thickBot="1" x14ac:dyDescent="0.3">
      <c r="B134" s="573" t="s">
        <v>529</v>
      </c>
      <c r="C134" s="561"/>
      <c r="D134" s="547"/>
      <c r="E134" s="562"/>
      <c r="F134" s="547"/>
      <c r="G134" s="562"/>
      <c r="H134" s="562"/>
      <c r="I134" s="562"/>
      <c r="J134" s="562"/>
      <c r="K134" s="562"/>
      <c r="L134" s="563">
        <f>L121+L123+L125+L127+L129+L131-L133</f>
        <v>31.719533125000002</v>
      </c>
    </row>
    <row r="135" spans="2:12" ht="3.95" customHeight="1" thickBot="1" x14ac:dyDescent="0.3">
      <c r="B135" s="562"/>
      <c r="C135" s="562"/>
      <c r="D135" s="547"/>
      <c r="E135" s="562"/>
      <c r="F135" s="547"/>
      <c r="G135" s="562"/>
      <c r="H135" s="562"/>
      <c r="I135" s="562"/>
      <c r="J135" s="562"/>
      <c r="K135" s="562"/>
      <c r="L135" s="585"/>
    </row>
    <row r="136" spans="2:12" ht="33.950000000000003" customHeight="1" x14ac:dyDescent="0.25">
      <c r="B136" s="574" t="s">
        <v>682</v>
      </c>
      <c r="C136" s="1048" t="s">
        <v>539</v>
      </c>
      <c r="D136" s="1049"/>
      <c r="E136" s="1049"/>
      <c r="F136" s="1049"/>
      <c r="G136" s="1049"/>
      <c r="H136" s="1049"/>
      <c r="I136" s="1049"/>
      <c r="J136" s="1049"/>
      <c r="K136" s="1049"/>
      <c r="L136" s="1050"/>
    </row>
    <row r="137" spans="2:12" ht="51" customHeight="1" x14ac:dyDescent="0.25">
      <c r="B137" s="569" t="s">
        <v>228</v>
      </c>
      <c r="C137" s="578" t="s">
        <v>683</v>
      </c>
      <c r="D137" s="579" t="s">
        <v>164</v>
      </c>
      <c r="E137" s="580" t="s">
        <v>127</v>
      </c>
      <c r="F137" s="579"/>
      <c r="G137" s="580"/>
      <c r="H137" s="581"/>
      <c r="I137" s="580"/>
      <c r="J137" s="581"/>
      <c r="K137" s="580"/>
      <c r="L137" s="552"/>
    </row>
    <row r="138" spans="2:12" ht="17.100000000000001" customHeight="1" x14ac:dyDescent="0.25">
      <c r="B138" s="564"/>
      <c r="C138" s="583">
        <f>'Ausgabe Mengenbilanzen'!I10</f>
        <v>16.9375</v>
      </c>
      <c r="D138" s="584"/>
      <c r="E138" s="598">
        <f>'Eingabe Annahmen'!G57</f>
        <v>1.25</v>
      </c>
      <c r="F138" s="584"/>
      <c r="G138" s="582"/>
      <c r="H138" s="576"/>
      <c r="I138" s="582"/>
      <c r="J138" s="576"/>
      <c r="K138" s="582"/>
      <c r="L138" s="568">
        <f>C138*E138</f>
        <v>21.171875</v>
      </c>
    </row>
    <row r="139" spans="2:12" ht="33.950000000000003" customHeight="1" x14ac:dyDescent="0.25">
      <c r="B139" s="569" t="s">
        <v>230</v>
      </c>
      <c r="C139" s="570" t="s">
        <v>687</v>
      </c>
      <c r="D139" s="571" t="s">
        <v>856</v>
      </c>
      <c r="E139" s="572" t="s">
        <v>783</v>
      </c>
      <c r="F139" s="571" t="s">
        <v>856</v>
      </c>
      <c r="G139" s="580" t="s">
        <v>750</v>
      </c>
      <c r="H139" s="571" t="s">
        <v>856</v>
      </c>
      <c r="I139" s="580" t="s">
        <v>639</v>
      </c>
      <c r="J139" s="571" t="s">
        <v>856</v>
      </c>
      <c r="K139" s="580" t="s">
        <v>640</v>
      </c>
      <c r="L139" s="569"/>
    </row>
    <row r="140" spans="2:12" ht="17.100000000000001" customHeight="1" x14ac:dyDescent="0.25">
      <c r="B140" s="564"/>
      <c r="C140" s="583">
        <f>'Ausgabe Mengenbilanzen'!C12</f>
        <v>30.686132499999999</v>
      </c>
      <c r="D140" s="584"/>
      <c r="E140" s="582">
        <f>'Eingabe Annahmen'!E46</f>
        <v>2.5</v>
      </c>
      <c r="F140" s="584"/>
      <c r="G140" s="582">
        <f>'Eingabe Annahmen'!$E$49</f>
        <v>0.5</v>
      </c>
      <c r="H140" s="584"/>
      <c r="I140" s="582">
        <f>'Eingabe Annahmen'!E47</f>
        <v>0.7</v>
      </c>
      <c r="J140" s="584"/>
      <c r="K140" s="582">
        <f>'Eingabe Eckdaten'!L19</f>
        <v>0.4</v>
      </c>
      <c r="L140" s="568">
        <f>C140*E140*G140*I140*K140</f>
        <v>10.740146374999998</v>
      </c>
    </row>
    <row r="141" spans="2:12" ht="33.950000000000003" customHeight="1" x14ac:dyDescent="0.25">
      <c r="B141" s="569" t="s">
        <v>634</v>
      </c>
      <c r="C141" s="570" t="s">
        <v>684</v>
      </c>
      <c r="D141" s="571" t="s">
        <v>856</v>
      </c>
      <c r="E141" s="572" t="s">
        <v>783</v>
      </c>
      <c r="F141" s="571" t="s">
        <v>856</v>
      </c>
      <c r="G141" s="572" t="s">
        <v>750</v>
      </c>
      <c r="H141" s="571" t="s">
        <v>856</v>
      </c>
      <c r="I141" s="572" t="s">
        <v>641</v>
      </c>
      <c r="J141" s="571" t="s">
        <v>856</v>
      </c>
      <c r="K141" s="572" t="s">
        <v>436</v>
      </c>
      <c r="L141" s="552"/>
    </row>
    <row r="142" spans="2:12" ht="17.100000000000001" customHeight="1" x14ac:dyDescent="0.25">
      <c r="B142" s="564"/>
      <c r="C142" s="583">
        <f>'Ausgabe Mengenbilanzen'!I10</f>
        <v>16.9375</v>
      </c>
      <c r="D142" s="584"/>
      <c r="E142" s="582">
        <f>'Eingabe Annahmen'!E46</f>
        <v>2.5</v>
      </c>
      <c r="F142" s="584"/>
      <c r="G142" s="582">
        <f>'Eingabe Annahmen'!$E$49</f>
        <v>0.5</v>
      </c>
      <c r="H142" s="584"/>
      <c r="I142" s="582">
        <f>'Eingabe Annahmen'!E48</f>
        <v>0.3</v>
      </c>
      <c r="J142" s="584"/>
      <c r="K142" s="582">
        <f>'Eingabe Eckdaten'!L19</f>
        <v>0.4</v>
      </c>
      <c r="L142" s="568">
        <f>C142*E142*G142*I142*K142</f>
        <v>2.5406250000000004</v>
      </c>
    </row>
    <row r="143" spans="2:12" ht="33.950000000000003" customHeight="1" x14ac:dyDescent="0.25">
      <c r="B143" s="569" t="s">
        <v>226</v>
      </c>
      <c r="C143" s="570" t="s">
        <v>684</v>
      </c>
      <c r="D143" s="571" t="s">
        <v>856</v>
      </c>
      <c r="E143" s="572" t="s">
        <v>783</v>
      </c>
      <c r="F143" s="571" t="s">
        <v>856</v>
      </c>
      <c r="G143" s="572" t="s">
        <v>750</v>
      </c>
      <c r="H143" s="571" t="s">
        <v>856</v>
      </c>
      <c r="I143" s="572" t="s">
        <v>639</v>
      </c>
      <c r="J143" s="571" t="s">
        <v>856</v>
      </c>
      <c r="K143" s="572" t="s">
        <v>752</v>
      </c>
      <c r="L143" s="569"/>
    </row>
    <row r="144" spans="2:12" ht="17.100000000000001" customHeight="1" x14ac:dyDescent="0.25">
      <c r="B144" s="564"/>
      <c r="C144" s="583">
        <f>'Ausgabe Mengenbilanzen'!I10</f>
        <v>16.9375</v>
      </c>
      <c r="D144" s="584"/>
      <c r="E144" s="582">
        <f>'Eingabe Annahmen'!E46</f>
        <v>2.5</v>
      </c>
      <c r="F144" s="584"/>
      <c r="G144" s="582">
        <f>'Eingabe Annahmen'!$E$49</f>
        <v>0.5</v>
      </c>
      <c r="H144" s="584"/>
      <c r="I144" s="582">
        <f>'Eingabe Annahmen'!E47</f>
        <v>0.7</v>
      </c>
      <c r="J144" s="584"/>
      <c r="K144" s="582">
        <f>'Eingabe Eckdaten'!L20</f>
        <v>0.6</v>
      </c>
      <c r="L144" s="568">
        <f>C144*E144*G144*I144*K144</f>
        <v>8.8921874999999986</v>
      </c>
    </row>
    <row r="145" spans="1:12" ht="33.950000000000003" customHeight="1" x14ac:dyDescent="0.25">
      <c r="B145" s="569" t="s">
        <v>635</v>
      </c>
      <c r="C145" s="570" t="s">
        <v>685</v>
      </c>
      <c r="D145" s="571" t="s">
        <v>856</v>
      </c>
      <c r="E145" s="572" t="s">
        <v>783</v>
      </c>
      <c r="F145" s="571" t="s">
        <v>856</v>
      </c>
      <c r="G145" s="572" t="s">
        <v>437</v>
      </c>
      <c r="H145" s="571" t="s">
        <v>856</v>
      </c>
      <c r="I145" s="572" t="s">
        <v>641</v>
      </c>
      <c r="J145" s="571" t="s">
        <v>856</v>
      </c>
      <c r="K145" s="572" t="s">
        <v>752</v>
      </c>
      <c r="L145" s="569"/>
    </row>
    <row r="146" spans="1:12" ht="17.100000000000001" customHeight="1" x14ac:dyDescent="0.25">
      <c r="B146" s="564"/>
      <c r="C146" s="583">
        <f>'Ausgabe Mengenbilanzen'!I10</f>
        <v>16.9375</v>
      </c>
      <c r="D146" s="584"/>
      <c r="E146" s="582">
        <f>'Eingabe Annahmen'!E46</f>
        <v>2.5</v>
      </c>
      <c r="F146" s="584"/>
      <c r="G146" s="582">
        <f>'Eingabe Annahmen'!$E$49</f>
        <v>0.5</v>
      </c>
      <c r="H146" s="584"/>
      <c r="I146" s="582">
        <f>'Eingabe Annahmen'!E48</f>
        <v>0.3</v>
      </c>
      <c r="J146" s="584"/>
      <c r="K146" s="582">
        <f>'Eingabe Eckdaten'!L20</f>
        <v>0.6</v>
      </c>
      <c r="L146" s="568">
        <f>C146*E146*G146*I146*K146</f>
        <v>3.8109374999999996</v>
      </c>
    </row>
    <row r="147" spans="1:12" ht="51" customHeight="1" x14ac:dyDescent="0.25">
      <c r="B147" s="569" t="s">
        <v>56</v>
      </c>
      <c r="C147" s="578" t="s">
        <v>541</v>
      </c>
      <c r="D147" s="579" t="s">
        <v>295</v>
      </c>
      <c r="E147" s="580" t="s">
        <v>55</v>
      </c>
      <c r="F147" s="638"/>
      <c r="H147" s="581"/>
      <c r="I147" s="580"/>
      <c r="J147" s="581"/>
      <c r="K147" s="580"/>
      <c r="L147" s="552"/>
    </row>
    <row r="148" spans="1:12" ht="17.100000000000001" customHeight="1" x14ac:dyDescent="0.25">
      <c r="B148" s="564"/>
      <c r="C148" s="583">
        <f>'Ausgabe Mengenbilanzen'!I8</f>
        <v>14.9375</v>
      </c>
      <c r="D148" s="584"/>
      <c r="E148" s="597">
        <f>'Eingabe Annahmen'!G58</f>
        <v>0.75</v>
      </c>
      <c r="F148" s="640"/>
      <c r="G148" s="748"/>
      <c r="H148" s="576"/>
      <c r="I148" s="582"/>
      <c r="J148" s="576"/>
      <c r="K148" s="582"/>
      <c r="L148" s="568">
        <f>C148*E148</f>
        <v>11.203125</v>
      </c>
    </row>
    <row r="149" spans="1:12" ht="33.950000000000003" customHeight="1" x14ac:dyDescent="0.25">
      <c r="B149" s="569" t="s">
        <v>864</v>
      </c>
      <c r="C149" s="580" t="s">
        <v>863</v>
      </c>
      <c r="D149" s="579"/>
      <c r="E149" s="580"/>
      <c r="F149" s="638"/>
      <c r="G149" s="580"/>
      <c r="H149" s="581"/>
      <c r="I149" s="580"/>
      <c r="J149" s="581"/>
      <c r="K149" s="580"/>
      <c r="L149" s="552"/>
    </row>
    <row r="150" spans="1:12" ht="17.100000000000001" customHeight="1" x14ac:dyDescent="0.25">
      <c r="B150" s="564"/>
      <c r="C150" s="641">
        <f>'Ausgabe Kostenbilanzen'!I31</f>
        <v>17.775625000000002</v>
      </c>
      <c r="D150" s="640"/>
      <c r="E150" s="598"/>
      <c r="F150" s="640"/>
      <c r="G150" s="641"/>
      <c r="H150" s="576"/>
      <c r="I150" s="641"/>
      <c r="J150" s="576"/>
      <c r="K150" s="641"/>
      <c r="L150" s="568">
        <f>C150</f>
        <v>17.775625000000002</v>
      </c>
    </row>
    <row r="151" spans="1:12" ht="17.100000000000001" customHeight="1" thickBot="1" x14ac:dyDescent="0.3">
      <c r="B151" s="573" t="s">
        <v>529</v>
      </c>
      <c r="C151" s="561"/>
      <c r="D151" s="547"/>
      <c r="E151" s="562"/>
      <c r="F151" s="547"/>
      <c r="G151" s="562"/>
      <c r="H151" s="562"/>
      <c r="I151" s="562"/>
      <c r="J151" s="562"/>
      <c r="K151" s="562"/>
      <c r="L151" s="563">
        <f>L138+L140+L142+L144+L146+L148-L150</f>
        <v>40.583271374999995</v>
      </c>
    </row>
    <row r="152" spans="1:12" ht="3.95" customHeight="1" x14ac:dyDescent="0.25">
      <c r="B152" s="544"/>
      <c r="C152" s="544"/>
      <c r="D152" s="548"/>
      <c r="E152" s="544"/>
      <c r="F152" s="548"/>
      <c r="G152" s="544"/>
      <c r="H152" s="544"/>
      <c r="I152" s="544"/>
      <c r="J152" s="544"/>
      <c r="K152" s="544"/>
      <c r="L152" s="586"/>
    </row>
    <row r="153" spans="1:12" ht="17.100000000000001" customHeight="1" x14ac:dyDescent="0.25">
      <c r="B153" s="551"/>
      <c r="C153" s="546"/>
      <c r="D153" s="559"/>
      <c r="E153" s="546"/>
      <c r="F153" s="559"/>
      <c r="G153" s="546"/>
      <c r="H153" s="546"/>
      <c r="I153" s="546"/>
      <c r="J153" s="546"/>
      <c r="K153" s="546"/>
      <c r="L153" s="546"/>
    </row>
    <row r="154" spans="1:12" ht="17.100000000000001" customHeight="1" x14ac:dyDescent="0.25">
      <c r="B154" s="545" t="s">
        <v>613</v>
      </c>
      <c r="C154" s="546"/>
      <c r="D154" s="559"/>
      <c r="E154" s="546"/>
      <c r="F154" s="559"/>
      <c r="G154" s="546"/>
      <c r="H154" s="546"/>
      <c r="I154" s="546"/>
      <c r="J154" s="546"/>
      <c r="K154" s="546"/>
      <c r="L154" s="546"/>
    </row>
    <row r="155" spans="1:12" ht="3.95" customHeight="1" thickBot="1" x14ac:dyDescent="0.3">
      <c r="B155" s="545"/>
      <c r="C155" s="546"/>
      <c r="D155" s="559"/>
      <c r="E155" s="546"/>
      <c r="F155" s="559"/>
      <c r="G155" s="546"/>
      <c r="H155" s="546"/>
      <c r="I155" s="546"/>
      <c r="J155" s="546"/>
      <c r="K155" s="546"/>
      <c r="L155" s="546"/>
    </row>
    <row r="156" spans="1:12" ht="17.25" customHeight="1" x14ac:dyDescent="0.25">
      <c r="A156" s="544"/>
      <c r="B156" s="555" t="s">
        <v>439</v>
      </c>
      <c r="C156" s="1051" t="s">
        <v>278</v>
      </c>
      <c r="D156" s="1049"/>
      <c r="E156" s="1049"/>
      <c r="F156" s="1049"/>
      <c r="G156" s="1049"/>
      <c r="H156" s="1049"/>
      <c r="I156" s="1049"/>
      <c r="J156" s="1049"/>
      <c r="K156" s="1049"/>
      <c r="L156" s="1050"/>
    </row>
    <row r="157" spans="1:12" ht="17.100000000000001" customHeight="1" thickBot="1" x14ac:dyDescent="0.3">
      <c r="B157" s="556" t="s">
        <v>100</v>
      </c>
      <c r="C157" s="1055" t="s">
        <v>440</v>
      </c>
      <c r="D157" s="1056"/>
      <c r="E157" s="1056"/>
      <c r="F157" s="1056"/>
      <c r="G157" s="1056"/>
      <c r="H157" s="1056"/>
      <c r="I157" s="1056"/>
      <c r="J157" s="1056"/>
      <c r="K157" s="1056"/>
      <c r="L157" s="554" t="s">
        <v>441</v>
      </c>
    </row>
    <row r="158" spans="1:12" ht="3.95" customHeight="1" thickBot="1" x14ac:dyDescent="0.3">
      <c r="B158" s="562"/>
      <c r="C158" s="562"/>
      <c r="D158" s="547"/>
      <c r="E158" s="562"/>
      <c r="F158" s="547"/>
      <c r="G158" s="562"/>
      <c r="H158" s="562"/>
      <c r="I158" s="562"/>
      <c r="J158" s="562"/>
      <c r="K158" s="562"/>
      <c r="L158" s="585"/>
    </row>
    <row r="159" spans="1:12" ht="33.950000000000003" customHeight="1" x14ac:dyDescent="0.25">
      <c r="B159" s="574" t="s">
        <v>650</v>
      </c>
      <c r="C159" s="1048" t="s">
        <v>821</v>
      </c>
      <c r="D159" s="1049"/>
      <c r="E159" s="1049"/>
      <c r="F159" s="1049"/>
      <c r="G159" s="1049"/>
      <c r="H159" s="1049"/>
      <c r="I159" s="1049"/>
      <c r="J159" s="1049"/>
      <c r="K159" s="1049"/>
      <c r="L159" s="1050"/>
    </row>
    <row r="160" spans="1:12" ht="33" customHeight="1" x14ac:dyDescent="0.25">
      <c r="B160" s="569" t="s">
        <v>749</v>
      </c>
      <c r="C160" s="578" t="s">
        <v>847</v>
      </c>
      <c r="D160" s="571" t="s">
        <v>856</v>
      </c>
      <c r="E160" s="572" t="s">
        <v>783</v>
      </c>
      <c r="F160" s="571" t="s">
        <v>856</v>
      </c>
      <c r="G160" s="580" t="s">
        <v>848</v>
      </c>
      <c r="H160" s="571" t="s">
        <v>856</v>
      </c>
      <c r="I160" s="580" t="s">
        <v>849</v>
      </c>
      <c r="J160" s="581"/>
      <c r="K160" s="580"/>
      <c r="L160" s="552"/>
    </row>
    <row r="161" spans="2:12" ht="17.100000000000001" customHeight="1" x14ac:dyDescent="0.25">
      <c r="B161" s="564"/>
      <c r="C161" s="583">
        <f>'Ausgabe Mengenbilanzen'!C12</f>
        <v>30.686132499999999</v>
      </c>
      <c r="D161" s="584"/>
      <c r="E161" s="582">
        <f>'Eingabe Annahmen'!E46</f>
        <v>2.5</v>
      </c>
      <c r="F161" s="584"/>
      <c r="G161" s="582">
        <f>'Eingabe Annahmen'!$E$50</f>
        <v>0.5</v>
      </c>
      <c r="H161" s="584"/>
      <c r="I161" s="582">
        <f>'Eingabe Annahmen'!F47</f>
        <v>0.6</v>
      </c>
      <c r="J161" s="576"/>
      <c r="K161" s="582"/>
      <c r="L161" s="568">
        <f>C161*E161*G161*I161</f>
        <v>23.014599374999996</v>
      </c>
    </row>
    <row r="162" spans="2:12" ht="33" customHeight="1" x14ac:dyDescent="0.25">
      <c r="B162" s="569" t="s">
        <v>857</v>
      </c>
      <c r="C162" s="570" t="s">
        <v>542</v>
      </c>
      <c r="D162" s="571" t="s">
        <v>856</v>
      </c>
      <c r="E162" s="572" t="s">
        <v>783</v>
      </c>
      <c r="F162" s="571" t="s">
        <v>856</v>
      </c>
      <c r="G162" s="580" t="s">
        <v>848</v>
      </c>
      <c r="H162" s="571" t="s">
        <v>856</v>
      </c>
      <c r="I162" s="580" t="s">
        <v>850</v>
      </c>
      <c r="J162" s="579"/>
      <c r="K162" s="580"/>
      <c r="L162" s="569"/>
    </row>
    <row r="163" spans="2:12" ht="17.100000000000001" customHeight="1" x14ac:dyDescent="0.25">
      <c r="B163" s="564"/>
      <c r="C163" s="583">
        <f>'Ausgabe Mengenbilanzen'!D12</f>
        <v>21.82088645</v>
      </c>
      <c r="D163" s="584"/>
      <c r="E163" s="582">
        <f>'Eingabe Annahmen'!E46</f>
        <v>2.5</v>
      </c>
      <c r="F163" s="584"/>
      <c r="G163" s="582">
        <f>'Eingabe Annahmen'!$E$50</f>
        <v>0.5</v>
      </c>
      <c r="H163" s="584"/>
      <c r="I163" s="582">
        <f>'Eingabe Annahmen'!F48</f>
        <v>0.4</v>
      </c>
      <c r="J163" s="584"/>
      <c r="K163" s="582"/>
      <c r="L163" s="568">
        <f>C163*E163*G163*I163</f>
        <v>10.910443225000002</v>
      </c>
    </row>
    <row r="164" spans="2:12" ht="33.950000000000003" customHeight="1" x14ac:dyDescent="0.25">
      <c r="B164" s="569" t="s">
        <v>744</v>
      </c>
      <c r="C164" s="570" t="s">
        <v>745</v>
      </c>
      <c r="D164" s="571" t="s">
        <v>856</v>
      </c>
      <c r="E164" s="572" t="s">
        <v>783</v>
      </c>
      <c r="F164" s="571" t="s">
        <v>856</v>
      </c>
      <c r="G164" s="572" t="s">
        <v>746</v>
      </c>
      <c r="H164" s="571" t="s">
        <v>856</v>
      </c>
      <c r="I164" s="572" t="s">
        <v>747</v>
      </c>
      <c r="J164" s="571" t="s">
        <v>856</v>
      </c>
      <c r="K164" s="572" t="s">
        <v>748</v>
      </c>
      <c r="L164" s="552"/>
    </row>
    <row r="165" spans="2:12" ht="17.100000000000001" customHeight="1" x14ac:dyDescent="0.25">
      <c r="B165" s="564"/>
      <c r="C165" s="583">
        <f>'Ausgabe Mengenbilanzen'!C12</f>
        <v>30.686132499999999</v>
      </c>
      <c r="D165" s="584"/>
      <c r="E165" s="582">
        <f>'Eingabe Annahmen'!E46</f>
        <v>2.5</v>
      </c>
      <c r="F165" s="584"/>
      <c r="G165" s="582">
        <f>'Eingabe Annahmen'!$E$49</f>
        <v>0.5</v>
      </c>
      <c r="H165" s="584"/>
      <c r="I165" s="582">
        <f>'Eingabe Annahmen'!F47</f>
        <v>0.6</v>
      </c>
      <c r="J165" s="584"/>
      <c r="K165" s="582">
        <f>'Eingabe Eckdaten'!L19+'Eingabe Eckdaten'!L41</f>
        <v>0.8</v>
      </c>
      <c r="L165" s="568">
        <f>C165*E165*G165*I165*K165</f>
        <v>18.411679499999998</v>
      </c>
    </row>
    <row r="166" spans="2:12" ht="33.950000000000003" customHeight="1" x14ac:dyDescent="0.25">
      <c r="B166" s="569" t="s">
        <v>634</v>
      </c>
      <c r="C166" s="570" t="s">
        <v>543</v>
      </c>
      <c r="D166" s="571" t="s">
        <v>856</v>
      </c>
      <c r="E166" s="572" t="s">
        <v>783</v>
      </c>
      <c r="F166" s="571" t="s">
        <v>856</v>
      </c>
      <c r="G166" s="572" t="s">
        <v>594</v>
      </c>
      <c r="H166" s="571" t="s">
        <v>856</v>
      </c>
      <c r="I166" s="572" t="s">
        <v>595</v>
      </c>
      <c r="J166" s="571" t="s">
        <v>856</v>
      </c>
      <c r="K166" s="572" t="s">
        <v>748</v>
      </c>
      <c r="L166" s="569"/>
    </row>
    <row r="167" spans="2:12" ht="17.100000000000001" customHeight="1" x14ac:dyDescent="0.25">
      <c r="B167" s="564"/>
      <c r="C167" s="583">
        <f>'Ausgabe Mengenbilanzen'!D12</f>
        <v>21.82088645</v>
      </c>
      <c r="D167" s="584"/>
      <c r="E167" s="582">
        <f>'Eingabe Annahmen'!E46</f>
        <v>2.5</v>
      </c>
      <c r="F167" s="584"/>
      <c r="G167" s="582">
        <f>'Eingabe Annahmen'!$E$49</f>
        <v>0.5</v>
      </c>
      <c r="H167" s="584"/>
      <c r="I167" s="582">
        <f>'Eingabe Annahmen'!F48</f>
        <v>0.4</v>
      </c>
      <c r="J167" s="584"/>
      <c r="K167" s="582">
        <f>'Eingabe Eckdaten'!L19+'Eingabe Eckdaten'!L41</f>
        <v>0.8</v>
      </c>
      <c r="L167" s="568">
        <f>C167*E167*G167*I167*K167</f>
        <v>8.7283545800000013</v>
      </c>
    </row>
    <row r="168" spans="2:12" ht="33" customHeight="1" x14ac:dyDescent="0.25">
      <c r="B168" s="569" t="s">
        <v>858</v>
      </c>
      <c r="C168" s="570" t="s">
        <v>542</v>
      </c>
      <c r="D168" s="571" t="s">
        <v>691</v>
      </c>
      <c r="E168" s="572" t="s">
        <v>783</v>
      </c>
      <c r="F168" s="571" t="s">
        <v>691</v>
      </c>
      <c r="G168" s="572" t="s">
        <v>594</v>
      </c>
      <c r="H168" s="571" t="s">
        <v>691</v>
      </c>
      <c r="I168" s="572" t="s">
        <v>498</v>
      </c>
      <c r="J168" s="571"/>
      <c r="K168" s="572"/>
      <c r="L168" s="569"/>
    </row>
    <row r="169" spans="2:12" ht="17.100000000000001" customHeight="1" x14ac:dyDescent="0.25">
      <c r="B169" s="564"/>
      <c r="C169" s="583">
        <f>'Ausgabe Mengenbilanzen'!D12</f>
        <v>21.82088645</v>
      </c>
      <c r="D169" s="584"/>
      <c r="E169" s="582">
        <f>'Eingabe Annahmen'!E46</f>
        <v>2.5</v>
      </c>
      <c r="F169" s="584"/>
      <c r="G169" s="582">
        <f>'Eingabe Annahmen'!$E$49</f>
        <v>0.5</v>
      </c>
      <c r="H169" s="584"/>
      <c r="I169" s="582">
        <f>'Eingabe Eckdaten'!L40-'Eingabe Eckdaten'!L19</f>
        <v>0.19999999999999996</v>
      </c>
      <c r="J169" s="584"/>
      <c r="K169" s="582"/>
      <c r="L169" s="568">
        <f>C169*E169*G169*I169</f>
        <v>5.455221612499999</v>
      </c>
    </row>
    <row r="170" spans="2:12" ht="51" customHeight="1" x14ac:dyDescent="0.25">
      <c r="B170" s="569" t="s">
        <v>104</v>
      </c>
      <c r="C170" s="570" t="s">
        <v>544</v>
      </c>
      <c r="D170" s="571" t="s">
        <v>105</v>
      </c>
      <c r="E170" s="572" t="s">
        <v>55</v>
      </c>
      <c r="F170" s="571"/>
      <c r="G170" s="572"/>
      <c r="H170" s="571"/>
      <c r="I170" s="572"/>
      <c r="J170" s="571"/>
      <c r="K170" s="572"/>
      <c r="L170" s="569"/>
    </row>
    <row r="171" spans="2:12" ht="17.100000000000001" customHeight="1" x14ac:dyDescent="0.25">
      <c r="B171" s="564"/>
      <c r="C171" s="583">
        <f>'Ausgabe Mengenbilanzen'!D12</f>
        <v>21.82088645</v>
      </c>
      <c r="D171" s="584"/>
      <c r="E171" s="598">
        <f>'Eingabe Annahmen'!F58</f>
        <v>0.75</v>
      </c>
      <c r="F171" s="584"/>
      <c r="G171" s="582"/>
      <c r="H171" s="584"/>
      <c r="I171" s="582"/>
      <c r="J171" s="584"/>
      <c r="K171" s="582"/>
      <c r="L171" s="568">
        <f>C171*E171</f>
        <v>16.365664837499999</v>
      </c>
    </row>
    <row r="172" spans="2:12" ht="33.950000000000003" customHeight="1" x14ac:dyDescent="0.25">
      <c r="B172" s="569" t="s">
        <v>496</v>
      </c>
      <c r="C172" s="578" t="s">
        <v>391</v>
      </c>
      <c r="D172" s="638" t="s">
        <v>390</v>
      </c>
      <c r="E172" s="580" t="s">
        <v>865</v>
      </c>
      <c r="F172" s="579"/>
      <c r="G172" s="580"/>
      <c r="H172" s="581"/>
      <c r="I172" s="580"/>
      <c r="J172" s="571"/>
      <c r="K172" s="580"/>
      <c r="L172" s="552"/>
    </row>
    <row r="173" spans="2:12" ht="17.100000000000001" customHeight="1" x14ac:dyDescent="0.25">
      <c r="B173" s="564"/>
      <c r="C173" s="639">
        <f>'Ausgabe Kostenbilanzen'!D30</f>
        <v>0.10073700000000002</v>
      </c>
      <c r="D173" s="640"/>
      <c r="E173" s="641">
        <f>'Ausgabe Kostenbilanzen'!D31</f>
        <v>3.0549241029999998</v>
      </c>
      <c r="F173" s="584"/>
      <c r="G173" s="582"/>
      <c r="H173" s="576"/>
      <c r="I173" s="582"/>
      <c r="J173" s="576"/>
      <c r="K173" s="582"/>
      <c r="L173" s="568">
        <f>C173+E173</f>
        <v>3.1556611029999999</v>
      </c>
    </row>
    <row r="174" spans="2:12" ht="17.100000000000001" customHeight="1" thickBot="1" x14ac:dyDescent="0.3">
      <c r="B174" s="573" t="s">
        <v>529</v>
      </c>
      <c r="C174" s="561"/>
      <c r="D174" s="547"/>
      <c r="E174" s="562"/>
      <c r="F174" s="547"/>
      <c r="G174" s="562"/>
      <c r="H174" s="562"/>
      <c r="I174" s="562"/>
      <c r="J174" s="562"/>
      <c r="K174" s="562"/>
      <c r="L174" s="563">
        <f>L161+L163+L165+L167+L169+L171-L173</f>
        <v>79.730302026999993</v>
      </c>
    </row>
    <row r="175" spans="2:12" ht="3.95" customHeight="1" thickBot="1" x14ac:dyDescent="0.3">
      <c r="B175" s="562"/>
      <c r="C175" s="562"/>
      <c r="D175" s="547"/>
      <c r="E175" s="562"/>
      <c r="F175" s="547"/>
      <c r="G175" s="562"/>
      <c r="H175" s="562"/>
      <c r="I175" s="562"/>
      <c r="J175" s="562"/>
      <c r="K175" s="562"/>
      <c r="L175" s="585"/>
    </row>
    <row r="176" spans="2:12" ht="33.950000000000003" customHeight="1" x14ac:dyDescent="0.25">
      <c r="B176" s="574" t="s">
        <v>753</v>
      </c>
      <c r="C176" s="1048" t="s">
        <v>602</v>
      </c>
      <c r="D176" s="1049"/>
      <c r="E176" s="1049"/>
      <c r="F176" s="1049"/>
      <c r="G176" s="1049"/>
      <c r="H176" s="1049"/>
      <c r="I176" s="1049"/>
      <c r="J176" s="1049"/>
      <c r="K176" s="1049"/>
      <c r="L176" s="1050"/>
    </row>
    <row r="177" spans="2:12" ht="33" customHeight="1" x14ac:dyDescent="0.25">
      <c r="B177" s="569" t="s">
        <v>601</v>
      </c>
      <c r="C177" s="578" t="s">
        <v>745</v>
      </c>
      <c r="D177" s="571" t="s">
        <v>856</v>
      </c>
      <c r="E177" s="572" t="s">
        <v>783</v>
      </c>
      <c r="F177" s="571" t="s">
        <v>856</v>
      </c>
      <c r="G177" s="580" t="s">
        <v>497</v>
      </c>
      <c r="H177" s="571" t="s">
        <v>856</v>
      </c>
      <c r="I177" s="580" t="s">
        <v>639</v>
      </c>
      <c r="J177" s="581"/>
      <c r="K177" s="580"/>
      <c r="L177" s="552"/>
    </row>
    <row r="178" spans="2:12" ht="17.100000000000001" customHeight="1" x14ac:dyDescent="0.25">
      <c r="B178" s="564"/>
      <c r="C178" s="583">
        <f>'Ausgabe Mengenbilanzen'!C12</f>
        <v>30.686132499999999</v>
      </c>
      <c r="D178" s="584"/>
      <c r="E178" s="582">
        <f>'Eingabe Annahmen'!E46</f>
        <v>2.5</v>
      </c>
      <c r="F178" s="584"/>
      <c r="G178" s="582">
        <f>'Eingabe Annahmen'!$E$50</f>
        <v>0.5</v>
      </c>
      <c r="H178" s="584"/>
      <c r="I178" s="582">
        <f>'Eingabe Annahmen'!E47</f>
        <v>0.7</v>
      </c>
      <c r="J178" s="576"/>
      <c r="K178" s="582"/>
      <c r="L178" s="568">
        <f>C178*E178*G178*I178</f>
        <v>26.850365937499994</v>
      </c>
    </row>
    <row r="179" spans="2:12" ht="33" customHeight="1" x14ac:dyDescent="0.25">
      <c r="B179" s="569" t="s">
        <v>857</v>
      </c>
      <c r="C179" s="570" t="s">
        <v>545</v>
      </c>
      <c r="D179" s="571" t="s">
        <v>856</v>
      </c>
      <c r="E179" s="572" t="s">
        <v>783</v>
      </c>
      <c r="F179" s="571" t="s">
        <v>856</v>
      </c>
      <c r="G179" s="580" t="s">
        <v>688</v>
      </c>
      <c r="H179" s="571" t="s">
        <v>856</v>
      </c>
      <c r="I179" s="580" t="s">
        <v>689</v>
      </c>
      <c r="J179" s="579"/>
      <c r="K179" s="580"/>
      <c r="L179" s="569"/>
    </row>
    <row r="180" spans="2:12" ht="17.100000000000001" customHeight="1" x14ac:dyDescent="0.25">
      <c r="B180" s="564"/>
      <c r="C180" s="583">
        <f>'Ausgabe Mengenbilanzen'!H12</f>
        <v>26.314050625</v>
      </c>
      <c r="D180" s="584"/>
      <c r="E180" s="582">
        <f>'Eingabe Annahmen'!E46</f>
        <v>2.5</v>
      </c>
      <c r="F180" s="584"/>
      <c r="G180" s="582">
        <f>'Eingabe Annahmen'!$E$50</f>
        <v>0.5</v>
      </c>
      <c r="H180" s="584"/>
      <c r="I180" s="582">
        <f>'Eingabe Annahmen'!E48</f>
        <v>0.3</v>
      </c>
      <c r="J180" s="584"/>
      <c r="K180" s="582"/>
      <c r="L180" s="568">
        <f>C180*E180*G180*I180</f>
        <v>9.8677689843749992</v>
      </c>
    </row>
    <row r="181" spans="2:12" ht="33.950000000000003" customHeight="1" x14ac:dyDescent="0.25">
      <c r="B181" s="569" t="s">
        <v>744</v>
      </c>
      <c r="C181" s="570" t="s">
        <v>853</v>
      </c>
      <c r="D181" s="571" t="s">
        <v>856</v>
      </c>
      <c r="E181" s="572" t="s">
        <v>783</v>
      </c>
      <c r="F181" s="571" t="s">
        <v>856</v>
      </c>
      <c r="G181" s="572" t="s">
        <v>690</v>
      </c>
      <c r="H181" s="571" t="s">
        <v>856</v>
      </c>
      <c r="I181" s="572" t="s">
        <v>592</v>
      </c>
      <c r="J181" s="571" t="s">
        <v>856</v>
      </c>
      <c r="K181" s="572" t="s">
        <v>593</v>
      </c>
      <c r="L181" s="552"/>
    </row>
    <row r="182" spans="2:12" ht="17.100000000000001" customHeight="1" x14ac:dyDescent="0.25">
      <c r="B182" s="564"/>
      <c r="C182" s="583">
        <f>'Ausgabe Mengenbilanzen'!C12</f>
        <v>30.686132499999999</v>
      </c>
      <c r="D182" s="584"/>
      <c r="E182" s="582">
        <f>'Eingabe Annahmen'!E46</f>
        <v>2.5</v>
      </c>
      <c r="F182" s="584"/>
      <c r="G182" s="582">
        <f>'Eingabe Annahmen'!$E$49</f>
        <v>0.5</v>
      </c>
      <c r="H182" s="584"/>
      <c r="I182" s="582">
        <f>'Eingabe Annahmen'!E47</f>
        <v>0.7</v>
      </c>
      <c r="J182" s="584"/>
      <c r="K182" s="582">
        <f>'Eingabe Eckdaten'!L19+'Eingabe Eckdaten'!L41</f>
        <v>0.8</v>
      </c>
      <c r="L182" s="568">
        <f>C182*E182*G182*I182*K182</f>
        <v>21.480292749999997</v>
      </c>
    </row>
    <row r="183" spans="2:12" ht="33.950000000000003" customHeight="1" x14ac:dyDescent="0.25">
      <c r="B183" s="569" t="s">
        <v>634</v>
      </c>
      <c r="C183" s="570" t="s">
        <v>545</v>
      </c>
      <c r="D183" s="571" t="s">
        <v>856</v>
      </c>
      <c r="E183" s="572" t="s">
        <v>783</v>
      </c>
      <c r="F183" s="571" t="s">
        <v>856</v>
      </c>
      <c r="G183" s="572" t="s">
        <v>784</v>
      </c>
      <c r="H183" s="571" t="s">
        <v>856</v>
      </c>
      <c r="I183" s="572" t="s">
        <v>844</v>
      </c>
      <c r="J183" s="571" t="s">
        <v>856</v>
      </c>
      <c r="K183" s="572" t="s">
        <v>845</v>
      </c>
      <c r="L183" s="569"/>
    </row>
    <row r="184" spans="2:12" ht="17.100000000000001" customHeight="1" x14ac:dyDescent="0.25">
      <c r="B184" s="564"/>
      <c r="C184" s="583">
        <f>'Ausgabe Mengenbilanzen'!H12</f>
        <v>26.314050625</v>
      </c>
      <c r="D184" s="584"/>
      <c r="E184" s="582">
        <f>'Eingabe Annahmen'!E46</f>
        <v>2.5</v>
      </c>
      <c r="F184" s="584"/>
      <c r="G184" s="582">
        <f>'Eingabe Annahmen'!$E$49</f>
        <v>0.5</v>
      </c>
      <c r="H184" s="584"/>
      <c r="I184" s="582">
        <f>'Eingabe Annahmen'!E48</f>
        <v>0.3</v>
      </c>
      <c r="J184" s="584"/>
      <c r="K184" s="582">
        <f>'Eingabe Eckdaten'!L19+'Eingabe Eckdaten'!L41</f>
        <v>0.8</v>
      </c>
      <c r="L184" s="568">
        <f>C184*E184*G184*I184*K184</f>
        <v>7.8942151874999995</v>
      </c>
    </row>
    <row r="185" spans="2:12" ht="33" customHeight="1" x14ac:dyDescent="0.25">
      <c r="B185" s="569" t="s">
        <v>858</v>
      </c>
      <c r="C185" s="570" t="s">
        <v>545</v>
      </c>
      <c r="D185" s="571" t="s">
        <v>691</v>
      </c>
      <c r="E185" s="572" t="s">
        <v>783</v>
      </c>
      <c r="F185" s="571" t="s">
        <v>691</v>
      </c>
      <c r="G185" s="572" t="s">
        <v>784</v>
      </c>
      <c r="H185" s="571" t="s">
        <v>691</v>
      </c>
      <c r="I185" s="572" t="s">
        <v>498</v>
      </c>
      <c r="J185" s="571"/>
      <c r="K185" s="572"/>
      <c r="L185" s="569"/>
    </row>
    <row r="186" spans="2:12" ht="17.100000000000001" customHeight="1" x14ac:dyDescent="0.25">
      <c r="B186" s="564"/>
      <c r="C186" s="583">
        <f>'Ausgabe Mengenbilanzen'!H12</f>
        <v>26.314050625</v>
      </c>
      <c r="D186" s="584"/>
      <c r="E186" s="582">
        <f>'Eingabe Annahmen'!E46</f>
        <v>2.5</v>
      </c>
      <c r="F186" s="584"/>
      <c r="G186" s="582">
        <f>'Eingabe Annahmen'!$E$49</f>
        <v>0.5</v>
      </c>
      <c r="H186" s="584"/>
      <c r="I186" s="582">
        <f>'Eingabe Eckdaten'!L40-'Eingabe Eckdaten'!L19</f>
        <v>0.19999999999999996</v>
      </c>
      <c r="J186" s="584"/>
      <c r="K186" s="582"/>
      <c r="L186" s="568">
        <f>C186*E186*G186*I186</f>
        <v>6.5785126562499983</v>
      </c>
    </row>
    <row r="187" spans="2:12" ht="51" customHeight="1" x14ac:dyDescent="0.25">
      <c r="B187" s="569" t="s">
        <v>104</v>
      </c>
      <c r="C187" s="570" t="s">
        <v>804</v>
      </c>
      <c r="D187" s="571" t="s">
        <v>105</v>
      </c>
      <c r="E187" s="572" t="s">
        <v>55</v>
      </c>
      <c r="F187" s="571"/>
      <c r="G187" s="572"/>
      <c r="H187" s="571"/>
      <c r="I187" s="572"/>
      <c r="J187" s="571"/>
      <c r="K187" s="572"/>
      <c r="L187" s="569"/>
    </row>
    <row r="188" spans="2:12" ht="17.100000000000001" customHeight="1" x14ac:dyDescent="0.25">
      <c r="B188" s="564"/>
      <c r="C188" s="583">
        <f>'Ausgabe Mengenbilanzen'!H12</f>
        <v>26.314050625</v>
      </c>
      <c r="D188" s="584"/>
      <c r="E188" s="596">
        <f>'Eingabe Annahmen'!F58</f>
        <v>0.75</v>
      </c>
      <c r="F188" s="584"/>
      <c r="G188" s="582"/>
      <c r="H188" s="584"/>
      <c r="I188" s="582"/>
      <c r="J188" s="584"/>
      <c r="K188" s="582"/>
      <c r="L188" s="568">
        <f>C188*E188</f>
        <v>19.735537968750002</v>
      </c>
    </row>
    <row r="189" spans="2:12" ht="33.950000000000003" customHeight="1" x14ac:dyDescent="0.25">
      <c r="B189" s="569" t="s">
        <v>496</v>
      </c>
      <c r="C189" s="578" t="s">
        <v>389</v>
      </c>
      <c r="D189" s="638" t="s">
        <v>390</v>
      </c>
      <c r="E189" s="580" t="s">
        <v>868</v>
      </c>
      <c r="F189" s="579"/>
      <c r="G189" s="580"/>
      <c r="H189" s="581"/>
      <c r="I189" s="580"/>
      <c r="J189" s="581"/>
      <c r="K189" s="580"/>
      <c r="L189" s="552"/>
    </row>
    <row r="190" spans="2:12" ht="17.100000000000001" customHeight="1" x14ac:dyDescent="0.25">
      <c r="B190" s="564"/>
      <c r="C190" s="639">
        <f>'Ausgabe Kostenbilanzen'!H30</f>
        <v>0.1399125</v>
      </c>
      <c r="D190" s="640"/>
      <c r="E190" s="641">
        <f>+'Ausgabe Kostenbilanzen'!H31</f>
        <v>3.6839670875000001</v>
      </c>
      <c r="F190" s="584"/>
      <c r="G190" s="582"/>
      <c r="H190" s="576"/>
      <c r="I190" s="582"/>
      <c r="J190" s="576"/>
      <c r="K190" s="582"/>
      <c r="L190" s="568">
        <f>C190+E190</f>
        <v>3.8238795875</v>
      </c>
    </row>
    <row r="191" spans="2:12" ht="17.100000000000001" customHeight="1" thickBot="1" x14ac:dyDescent="0.3">
      <c r="B191" s="573" t="s">
        <v>529</v>
      </c>
      <c r="C191" s="561"/>
      <c r="D191" s="547"/>
      <c r="E191" s="562"/>
      <c r="F191" s="547"/>
      <c r="G191" s="562"/>
      <c r="H191" s="562"/>
      <c r="I191" s="562"/>
      <c r="J191" s="562"/>
      <c r="K191" s="562"/>
      <c r="L191" s="563">
        <f>L178+L180+L182+L184+L186+L188-L190</f>
        <v>88.582813896874981</v>
      </c>
    </row>
    <row r="192" spans="2:12" ht="4.5" customHeight="1" x14ac:dyDescent="0.25">
      <c r="B192" s="551"/>
      <c r="C192" s="546"/>
      <c r="D192" s="559"/>
      <c r="E192" s="546"/>
      <c r="F192" s="559"/>
      <c r="G192" s="546"/>
      <c r="H192" s="546"/>
      <c r="I192" s="546"/>
      <c r="J192" s="546"/>
      <c r="K192" s="546"/>
      <c r="L192" s="546"/>
    </row>
    <row r="193" spans="1:12" ht="17.100000000000001" customHeight="1" x14ac:dyDescent="0.25"/>
    <row r="194" spans="1:12" ht="20.100000000000001" customHeight="1" x14ac:dyDescent="0.25">
      <c r="A194" s="542"/>
      <c r="B194" s="1057" t="s">
        <v>297</v>
      </c>
      <c r="C194" s="1057"/>
      <c r="D194" s="1057"/>
      <c r="E194" s="1057"/>
      <c r="F194" s="1057"/>
      <c r="G194" s="1057"/>
      <c r="H194" s="1057"/>
      <c r="I194" s="1057"/>
      <c r="J194" s="1057"/>
      <c r="K194" s="1057"/>
      <c r="L194" s="1057"/>
    </row>
    <row r="195" spans="1:12" ht="3.95" customHeight="1" thickBot="1" x14ac:dyDescent="0.3">
      <c r="A195" s="542"/>
      <c r="B195" s="603"/>
      <c r="C195" s="603"/>
      <c r="D195" s="603"/>
      <c r="E195" s="603"/>
      <c r="F195" s="603"/>
      <c r="G195" s="603"/>
      <c r="H195" s="603"/>
      <c r="I195" s="603"/>
      <c r="J195" s="603"/>
      <c r="K195" s="603"/>
      <c r="L195" s="603"/>
    </row>
    <row r="196" spans="1:12" ht="17.25" customHeight="1" x14ac:dyDescent="0.25">
      <c r="A196" s="544"/>
      <c r="B196" s="555" t="s">
        <v>439</v>
      </c>
      <c r="C196" s="1051" t="s">
        <v>278</v>
      </c>
      <c r="D196" s="1049"/>
      <c r="E196" s="1049"/>
      <c r="F196" s="1049"/>
      <c r="G196" s="1049"/>
      <c r="H196" s="1049"/>
      <c r="I196" s="1049"/>
      <c r="J196" s="1049"/>
      <c r="K196" s="1049"/>
      <c r="L196" s="1050"/>
    </row>
    <row r="197" spans="1:12" ht="17.100000000000001" customHeight="1" thickBot="1" x14ac:dyDescent="0.3">
      <c r="B197" s="556" t="s">
        <v>100</v>
      </c>
      <c r="C197" s="1055" t="s">
        <v>440</v>
      </c>
      <c r="D197" s="1056"/>
      <c r="E197" s="1056"/>
      <c r="F197" s="1056"/>
      <c r="G197" s="1056"/>
      <c r="H197" s="1056"/>
      <c r="I197" s="1056"/>
      <c r="J197" s="1056"/>
      <c r="K197" s="1056"/>
      <c r="L197" s="554" t="s">
        <v>441</v>
      </c>
    </row>
    <row r="198" spans="1:12" ht="4.5" customHeight="1" thickBot="1" x14ac:dyDescent="0.3">
      <c r="B198" s="547"/>
      <c r="C198" s="548"/>
      <c r="D198" s="548"/>
      <c r="E198" s="548"/>
      <c r="F198" s="548"/>
      <c r="G198" s="548"/>
      <c r="H198" s="548"/>
      <c r="I198" s="548"/>
      <c r="J198" s="548"/>
      <c r="K198" s="548"/>
      <c r="L198" s="548"/>
    </row>
    <row r="199" spans="1:12" ht="17.25" customHeight="1" x14ac:dyDescent="0.25">
      <c r="B199" s="549" t="s">
        <v>833</v>
      </c>
      <c r="C199" s="1058" t="s">
        <v>384</v>
      </c>
      <c r="D199" s="1059"/>
      <c r="E199" s="1059"/>
      <c r="F199" s="1059"/>
      <c r="G199" s="1059"/>
      <c r="H199" s="1059"/>
      <c r="I199" s="1059"/>
      <c r="J199" s="1059"/>
      <c r="K199" s="1059"/>
      <c r="L199" s="1060"/>
    </row>
    <row r="200" spans="1:12" ht="51" customHeight="1" x14ac:dyDescent="0.25">
      <c r="B200" s="569" t="s">
        <v>296</v>
      </c>
      <c r="C200" s="570" t="s">
        <v>681</v>
      </c>
      <c r="D200" s="571" t="s">
        <v>295</v>
      </c>
      <c r="E200" s="572" t="s">
        <v>609</v>
      </c>
      <c r="F200" s="571"/>
      <c r="G200" s="572"/>
      <c r="H200" s="575"/>
      <c r="I200" s="572"/>
      <c r="J200" s="575"/>
      <c r="K200" s="572"/>
      <c r="L200" s="569"/>
    </row>
    <row r="201" spans="1:12" ht="17.100000000000001" customHeight="1" x14ac:dyDescent="0.25">
      <c r="B201" s="564"/>
      <c r="C201" s="583">
        <f>'Ausgabe Mengenbilanzen'!D13</f>
        <v>0.92801250000000002</v>
      </c>
      <c r="D201" s="584"/>
      <c r="E201" s="582">
        <f>'Eingabe Annahmen'!F59</f>
        <v>2</v>
      </c>
      <c r="F201" s="584"/>
      <c r="G201" s="582"/>
      <c r="H201" s="576"/>
      <c r="I201" s="582"/>
      <c r="J201" s="576"/>
      <c r="K201" s="582"/>
      <c r="L201" s="568">
        <f>C201*E201</f>
        <v>1.856025</v>
      </c>
    </row>
    <row r="202" spans="1:12" ht="17.100000000000001" customHeight="1" thickBot="1" x14ac:dyDescent="0.3">
      <c r="B202" s="573" t="s">
        <v>529</v>
      </c>
      <c r="C202" s="561"/>
      <c r="D202" s="547"/>
      <c r="E202" s="562"/>
      <c r="F202" s="547"/>
      <c r="G202" s="562"/>
      <c r="H202" s="562"/>
      <c r="I202" s="562"/>
      <c r="J202" s="562"/>
      <c r="K202" s="562"/>
      <c r="L202" s="563">
        <f>L201</f>
        <v>1.856025</v>
      </c>
    </row>
    <row r="203" spans="1:12" ht="4.5" customHeight="1" thickBot="1" x14ac:dyDescent="0.3">
      <c r="B203" s="547"/>
      <c r="C203" s="548"/>
      <c r="D203" s="548"/>
      <c r="E203" s="548"/>
      <c r="F203" s="548"/>
      <c r="G203" s="548"/>
      <c r="H203" s="548"/>
      <c r="I203" s="548"/>
      <c r="J203" s="548"/>
      <c r="K203" s="548"/>
      <c r="L203" s="548"/>
    </row>
    <row r="204" spans="1:12" ht="17.25" customHeight="1" x14ac:dyDescent="0.25">
      <c r="B204" s="642" t="s">
        <v>834</v>
      </c>
      <c r="C204" s="1048" t="s">
        <v>385</v>
      </c>
      <c r="D204" s="1049"/>
      <c r="E204" s="1049"/>
      <c r="F204" s="1049"/>
      <c r="G204" s="1049"/>
      <c r="H204" s="1049"/>
      <c r="I204" s="1049"/>
      <c r="J204" s="1049"/>
      <c r="K204" s="1049"/>
      <c r="L204" s="1050"/>
    </row>
    <row r="205" spans="1:12" ht="51" customHeight="1" x14ac:dyDescent="0.25">
      <c r="B205" s="552" t="s">
        <v>296</v>
      </c>
      <c r="C205" s="578" t="s">
        <v>680</v>
      </c>
      <c r="D205" s="579" t="s">
        <v>295</v>
      </c>
      <c r="E205" s="580" t="s">
        <v>609</v>
      </c>
      <c r="F205" s="579"/>
      <c r="G205" s="580"/>
      <c r="H205" s="581"/>
      <c r="I205" s="580"/>
      <c r="J205" s="581"/>
      <c r="K205" s="580"/>
      <c r="L205" s="552"/>
    </row>
    <row r="206" spans="1:12" ht="17.100000000000001" customHeight="1" x14ac:dyDescent="0.25">
      <c r="B206" s="564"/>
      <c r="C206" s="583">
        <f>'Ausgabe Mengenbilanzen'!H13</f>
        <v>1.2889062499999999</v>
      </c>
      <c r="D206" s="584"/>
      <c r="E206" s="582">
        <f>'Eingabe Annahmen'!F59</f>
        <v>2</v>
      </c>
      <c r="F206" s="584"/>
      <c r="G206" s="582"/>
      <c r="H206" s="576"/>
      <c r="I206" s="582"/>
      <c r="J206" s="576"/>
      <c r="K206" s="582"/>
      <c r="L206" s="568">
        <f>C206*E206</f>
        <v>2.5778124999999998</v>
      </c>
    </row>
    <row r="207" spans="1:12" ht="17.100000000000001" customHeight="1" thickBot="1" x14ac:dyDescent="0.3">
      <c r="B207" s="573" t="s">
        <v>529</v>
      </c>
      <c r="C207" s="561"/>
      <c r="D207" s="547"/>
      <c r="E207" s="562"/>
      <c r="F207" s="547"/>
      <c r="G207" s="562"/>
      <c r="H207" s="562"/>
      <c r="I207" s="562"/>
      <c r="J207" s="562"/>
      <c r="K207" s="562"/>
      <c r="L207" s="563">
        <f>L206</f>
        <v>2.5778124999999998</v>
      </c>
    </row>
    <row r="208" spans="1:12" ht="4.5" customHeight="1" x14ac:dyDescent="0.25">
      <c r="B208" s="548"/>
      <c r="C208" s="548"/>
      <c r="D208" s="548"/>
      <c r="E208" s="548"/>
      <c r="F208" s="548"/>
      <c r="G208" s="548"/>
      <c r="H208" s="548"/>
      <c r="I208" s="548"/>
      <c r="J208" s="548"/>
      <c r="K208" s="548"/>
      <c r="L208" s="548"/>
    </row>
    <row r="209" spans="1:12" ht="17.100000000000001" customHeight="1" x14ac:dyDescent="0.25"/>
    <row r="210" spans="1:12" ht="20.100000000000001" customHeight="1" x14ac:dyDescent="0.25">
      <c r="A210" s="542"/>
      <c r="B210" s="1057" t="s">
        <v>298</v>
      </c>
      <c r="C210" s="1057"/>
      <c r="D210" s="1057"/>
      <c r="E210" s="1057"/>
      <c r="F210" s="1057"/>
      <c r="G210" s="1057"/>
      <c r="H210" s="1057"/>
      <c r="I210" s="1057"/>
      <c r="J210" s="1057"/>
      <c r="K210" s="1057"/>
      <c r="L210" s="1057"/>
    </row>
    <row r="211" spans="1:12" ht="3.95" customHeight="1" thickBot="1" x14ac:dyDescent="0.3">
      <c r="A211" s="542"/>
      <c r="B211" s="602"/>
      <c r="C211" s="602"/>
      <c r="D211" s="602"/>
      <c r="E211" s="602"/>
      <c r="F211" s="602"/>
      <c r="G211" s="602"/>
      <c r="H211" s="602"/>
      <c r="I211" s="602"/>
      <c r="J211" s="602"/>
      <c r="K211" s="602"/>
      <c r="L211" s="602"/>
    </row>
    <row r="212" spans="1:12" ht="17.25" customHeight="1" x14ac:dyDescent="0.25">
      <c r="A212" s="544"/>
      <c r="B212" s="555" t="s">
        <v>439</v>
      </c>
      <c r="C212" s="1051" t="s">
        <v>278</v>
      </c>
      <c r="D212" s="1049"/>
      <c r="E212" s="1049"/>
      <c r="F212" s="1049"/>
      <c r="G212" s="1049"/>
      <c r="H212" s="1049"/>
      <c r="I212" s="1049"/>
      <c r="J212" s="1049"/>
      <c r="K212" s="1049"/>
      <c r="L212" s="1050"/>
    </row>
    <row r="213" spans="1:12" ht="17.100000000000001" customHeight="1" thickBot="1" x14ac:dyDescent="0.3">
      <c r="B213" s="556" t="s">
        <v>100</v>
      </c>
      <c r="C213" s="1055" t="s">
        <v>440</v>
      </c>
      <c r="D213" s="1056"/>
      <c r="E213" s="1056"/>
      <c r="F213" s="1056"/>
      <c r="G213" s="1056"/>
      <c r="H213" s="1056"/>
      <c r="I213" s="1056"/>
      <c r="J213" s="1056"/>
      <c r="K213" s="1056"/>
      <c r="L213" s="554" t="s">
        <v>441</v>
      </c>
    </row>
    <row r="214" spans="1:12" ht="4.5" customHeight="1" thickBot="1" x14ac:dyDescent="0.3">
      <c r="B214" s="547"/>
      <c r="C214" s="548"/>
      <c r="D214" s="548"/>
      <c r="E214" s="548"/>
      <c r="F214" s="548"/>
      <c r="G214" s="548"/>
      <c r="H214" s="548"/>
      <c r="I214" s="548"/>
      <c r="J214" s="548"/>
      <c r="K214" s="548"/>
      <c r="L214" s="548"/>
    </row>
    <row r="215" spans="1:12" ht="17.25" customHeight="1" x14ac:dyDescent="0.25">
      <c r="B215" s="549" t="s">
        <v>754</v>
      </c>
      <c r="C215" s="1058" t="s">
        <v>384</v>
      </c>
      <c r="D215" s="1059"/>
      <c r="E215" s="1059"/>
      <c r="F215" s="1059"/>
      <c r="G215" s="1059"/>
      <c r="H215" s="1059"/>
      <c r="I215" s="1059"/>
      <c r="J215" s="1059"/>
      <c r="K215" s="1059"/>
      <c r="L215" s="1060"/>
    </row>
    <row r="216" spans="1:12" ht="51" customHeight="1" x14ac:dyDescent="0.25">
      <c r="B216" s="569" t="s">
        <v>296</v>
      </c>
      <c r="C216" s="570" t="s">
        <v>692</v>
      </c>
      <c r="D216" s="571" t="s">
        <v>295</v>
      </c>
      <c r="E216" s="572" t="s">
        <v>607</v>
      </c>
      <c r="F216" s="571"/>
      <c r="G216" s="572"/>
      <c r="H216" s="575"/>
      <c r="I216" s="572"/>
      <c r="J216" s="575"/>
      <c r="K216" s="572"/>
      <c r="L216" s="569"/>
    </row>
    <row r="217" spans="1:12" ht="17.100000000000001" customHeight="1" x14ac:dyDescent="0.25">
      <c r="B217" s="564"/>
      <c r="C217" s="583">
        <f>'Ausgabe Mengenbilanzen'!E14</f>
        <v>1.8230175</v>
      </c>
      <c r="D217" s="584"/>
      <c r="E217" s="582">
        <f>'Eingabe Annahmen'!G60</f>
        <v>20</v>
      </c>
      <c r="F217" s="584"/>
      <c r="G217" s="582"/>
      <c r="H217" s="576"/>
      <c r="I217" s="582"/>
      <c r="J217" s="576"/>
      <c r="K217" s="582"/>
      <c r="L217" s="568">
        <f>C217*E217</f>
        <v>36.460349999999998</v>
      </c>
    </row>
    <row r="218" spans="1:12" ht="33.950000000000003" customHeight="1" x14ac:dyDescent="0.25">
      <c r="B218" s="569" t="s">
        <v>608</v>
      </c>
      <c r="C218" s="578" t="s">
        <v>867</v>
      </c>
      <c r="D218" s="577" t="s">
        <v>695</v>
      </c>
      <c r="E218" s="580" t="s">
        <v>869</v>
      </c>
      <c r="F218" s="571"/>
      <c r="G218" s="572"/>
      <c r="H218" s="575"/>
      <c r="I218" s="572"/>
      <c r="J218" s="575"/>
      <c r="K218" s="572"/>
      <c r="L218" s="569"/>
    </row>
    <row r="219" spans="1:12" ht="17.100000000000001" customHeight="1" x14ac:dyDescent="0.25">
      <c r="B219" s="564"/>
      <c r="C219" s="635">
        <f>'Ausgabe Kostenbilanzen'!E30</f>
        <v>0.43401420000000002</v>
      </c>
      <c r="D219" s="636"/>
      <c r="E219" s="637">
        <f>'Ausgabe Kostenbilanzen'!E32</f>
        <v>0.56573999999999991</v>
      </c>
      <c r="F219" s="584"/>
      <c r="G219" s="582"/>
      <c r="H219" s="576"/>
      <c r="I219" s="582"/>
      <c r="J219" s="576"/>
      <c r="K219" s="582"/>
      <c r="L219" s="568">
        <f>C219+E219</f>
        <v>0.99975419999999993</v>
      </c>
    </row>
    <row r="220" spans="1:12" ht="17.100000000000001" customHeight="1" thickBot="1" x14ac:dyDescent="0.3">
      <c r="B220" s="573" t="s">
        <v>529</v>
      </c>
      <c r="C220" s="561"/>
      <c r="D220" s="547"/>
      <c r="E220" s="562"/>
      <c r="F220" s="547"/>
      <c r="G220" s="562"/>
      <c r="H220" s="562"/>
      <c r="I220" s="562"/>
      <c r="J220" s="562"/>
      <c r="K220" s="562"/>
      <c r="L220" s="563">
        <f>L217-L219</f>
        <v>35.4605958</v>
      </c>
    </row>
    <row r="221" spans="1:12" ht="4.5" customHeight="1" thickBot="1" x14ac:dyDescent="0.3">
      <c r="B221" s="547"/>
      <c r="C221" s="548"/>
      <c r="D221" s="548"/>
      <c r="E221" s="548"/>
      <c r="F221" s="548"/>
      <c r="G221" s="548"/>
      <c r="H221" s="548"/>
      <c r="I221" s="548"/>
      <c r="J221" s="548"/>
      <c r="K221" s="548"/>
      <c r="L221" s="548"/>
    </row>
    <row r="222" spans="1:12" ht="17.25" customHeight="1" x14ac:dyDescent="0.25">
      <c r="B222" s="549" t="s">
        <v>693</v>
      </c>
      <c r="C222" s="1058" t="s">
        <v>384</v>
      </c>
      <c r="D222" s="1059"/>
      <c r="E222" s="1059"/>
      <c r="F222" s="1059"/>
      <c r="G222" s="1059"/>
      <c r="H222" s="1059"/>
      <c r="I222" s="1059"/>
      <c r="J222" s="1059"/>
      <c r="K222" s="1059"/>
      <c r="L222" s="1060"/>
    </row>
    <row r="223" spans="1:12" ht="51" customHeight="1" x14ac:dyDescent="0.25">
      <c r="B223" s="569" t="s">
        <v>296</v>
      </c>
      <c r="C223" s="570" t="s">
        <v>694</v>
      </c>
      <c r="D223" s="571" t="s">
        <v>295</v>
      </c>
      <c r="E223" s="572" t="s">
        <v>607</v>
      </c>
      <c r="F223" s="571"/>
      <c r="G223" s="572"/>
      <c r="H223" s="575"/>
      <c r="I223" s="572"/>
      <c r="J223" s="575"/>
      <c r="K223" s="572"/>
      <c r="L223" s="569"/>
    </row>
    <row r="224" spans="1:12" ht="17.100000000000001" customHeight="1" x14ac:dyDescent="0.25">
      <c r="B224" s="564"/>
      <c r="C224" s="583">
        <f>'Ausgabe Mengenbilanzen'!I14</f>
        <v>2.5944687499999999</v>
      </c>
      <c r="D224" s="584"/>
      <c r="E224" s="582">
        <f>'Eingabe Annahmen'!G60</f>
        <v>20</v>
      </c>
      <c r="F224" s="584"/>
      <c r="G224" s="582"/>
      <c r="H224" s="576"/>
      <c r="I224" s="582"/>
      <c r="J224" s="576"/>
      <c r="K224" s="582"/>
      <c r="L224" s="568">
        <f>C224*E224</f>
        <v>51.889375000000001</v>
      </c>
    </row>
    <row r="225" spans="2:12" ht="33.950000000000003" customHeight="1" x14ac:dyDescent="0.25">
      <c r="B225" s="569" t="s">
        <v>608</v>
      </c>
      <c r="C225" s="578" t="s">
        <v>866</v>
      </c>
      <c r="D225" s="577" t="s">
        <v>695</v>
      </c>
      <c r="E225" s="580" t="s">
        <v>870</v>
      </c>
      <c r="F225" s="571"/>
      <c r="G225" s="572"/>
      <c r="H225" s="575"/>
      <c r="I225" s="572"/>
      <c r="J225" s="575"/>
      <c r="K225" s="572"/>
      <c r="L225" s="569"/>
    </row>
    <row r="226" spans="2:12" ht="17.100000000000001" customHeight="1" x14ac:dyDescent="0.25">
      <c r="B226" s="564"/>
      <c r="C226" s="635">
        <f>'Ausgabe Kostenbilanzen'!I30</f>
        <v>0.6027975000000001</v>
      </c>
      <c r="D226" s="636"/>
      <c r="E226" s="637">
        <f>'Ausgabe Kostenbilanzen'!I32</f>
        <v>0.78574999999999995</v>
      </c>
      <c r="F226" s="584"/>
      <c r="G226" s="582"/>
      <c r="H226" s="576"/>
      <c r="I226" s="582"/>
      <c r="J226" s="576"/>
      <c r="K226" s="582"/>
      <c r="L226" s="568">
        <f>C226+E226</f>
        <v>1.3885475</v>
      </c>
    </row>
    <row r="227" spans="2:12" ht="17.100000000000001" customHeight="1" thickBot="1" x14ac:dyDescent="0.3">
      <c r="B227" s="573" t="s">
        <v>529</v>
      </c>
      <c r="C227" s="561"/>
      <c r="D227" s="547"/>
      <c r="E227" s="562"/>
      <c r="F227" s="547"/>
      <c r="G227" s="562"/>
      <c r="H227" s="562"/>
      <c r="I227" s="562"/>
      <c r="J227" s="562"/>
      <c r="K227" s="562"/>
      <c r="L227" s="563">
        <f>L224-L226</f>
        <v>50.5008275</v>
      </c>
    </row>
    <row r="228" spans="2:12" ht="3.95" customHeight="1" x14ac:dyDescent="0.25"/>
  </sheetData>
  <mergeCells count="36">
    <mergeCell ref="B210:L210"/>
    <mergeCell ref="C212:L212"/>
    <mergeCell ref="C213:K213"/>
    <mergeCell ref="C215:L215"/>
    <mergeCell ref="C222:L222"/>
    <mergeCell ref="B194:L194"/>
    <mergeCell ref="C196:L196"/>
    <mergeCell ref="C197:K197"/>
    <mergeCell ref="C199:L199"/>
    <mergeCell ref="C204:L204"/>
    <mergeCell ref="C159:L159"/>
    <mergeCell ref="C176:L176"/>
    <mergeCell ref="B39:L39"/>
    <mergeCell ref="C41:L41"/>
    <mergeCell ref="C42:K42"/>
    <mergeCell ref="C44:L44"/>
    <mergeCell ref="C49:L49"/>
    <mergeCell ref="C117:K117"/>
    <mergeCell ref="C119:L119"/>
    <mergeCell ref="C136:L136"/>
    <mergeCell ref="C156:L156"/>
    <mergeCell ref="C157:K157"/>
    <mergeCell ref="C100:L100"/>
    <mergeCell ref="C116:L116"/>
    <mergeCell ref="B5:L5"/>
    <mergeCell ref="C7:L7"/>
    <mergeCell ref="C8:K8"/>
    <mergeCell ref="C10:L10"/>
    <mergeCell ref="C17:L17"/>
    <mergeCell ref="C24:L24"/>
    <mergeCell ref="C31:L31"/>
    <mergeCell ref="C57:L57"/>
    <mergeCell ref="C87:L87"/>
    <mergeCell ref="C58:K58"/>
    <mergeCell ref="C60:L60"/>
    <mergeCell ref="C73:L73"/>
  </mergeCells>
  <phoneticPr fontId="39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Eingabe Eckdaten</vt:lpstr>
      <vt:lpstr>Eingabe Annahmen</vt:lpstr>
      <vt:lpstr>Interne Berechunung</vt:lpstr>
      <vt:lpstr>Ausgabe Kennwerte</vt:lpstr>
      <vt:lpstr>Ausgabe Mengenbilanzen</vt:lpstr>
      <vt:lpstr>Ausgabe Kostenbilanzen</vt:lpstr>
      <vt:lpstr>Sensitivitätsanalyse</vt:lpstr>
      <vt:lpstr>Ausgabe Öko-Effizienz</vt:lpstr>
      <vt:lpstr>Formelsammlung</vt:lpstr>
      <vt:lpstr>Literatur</vt:lpstr>
      <vt:lpstr>'Ausgabe Kennwerte'!Druckbereich</vt:lpstr>
      <vt:lpstr>'Ausgabe Kostenbilanzen'!Druckbereich</vt:lpstr>
      <vt:lpstr>'Ausgabe Mengenbilanzen'!Druckbereich</vt:lpstr>
      <vt:lpstr>'Eingabe Annahmen'!Druckbereich</vt:lpstr>
      <vt:lpstr>'Eingabe Eckdaten'!Druckbereich</vt:lpstr>
      <vt:lpstr>Formelsammlung!Druckbereich</vt:lpstr>
      <vt:lpstr>Literatur!Druckbereich</vt:lpstr>
      <vt:lpstr>'Eingabe Annahmen'!Drucktitel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BkW</dc:title>
  <dc:subject/>
  <dc:creator>netWORKS</dc:creator>
  <cp:keywords/>
  <dc:description/>
  <cp:lastModifiedBy>Jens Libbe</cp:lastModifiedBy>
  <cp:lastPrinted>2010-01-07T11:11:43Z</cp:lastPrinted>
  <dcterms:created xsi:type="dcterms:W3CDTF">2009-01-28T07:31:40Z</dcterms:created>
  <dcterms:modified xsi:type="dcterms:W3CDTF">2010-11-09T14:45:19Z</dcterms:modified>
  <cp:category/>
</cp:coreProperties>
</file>